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258D3ABC-3E59-441E-9170-2A0B3316F701}" xr6:coauthVersionLast="46" xr6:coauthVersionMax="46" xr10:uidLastSave="{00000000-0000-0000-0000-000000000000}"/>
  <bookViews>
    <workbookView xWindow="-120" yWindow="-120" windowWidth="29040" windowHeight="15720" activeTab="4" xr2:uid="{00000000-000D-0000-FFFF-FFFF00000000}"/>
  </bookViews>
  <sheets>
    <sheet name="I er." sheetId="27" r:id="rId1"/>
    <sheet name="I կիս." sheetId="28" r:id="rId2"/>
    <sheet name="3-րդ եռ." sheetId="29" r:id="rId3"/>
    <sheet name="տարի" sheetId="30" state="hidden" r:id="rId4"/>
    <sheet name="2024" sheetId="31" r:id="rId5"/>
  </sheets>
  <calcPr calcId="191029"/>
</workbook>
</file>

<file path=xl/calcChain.xml><?xml version="1.0" encoding="utf-8"?>
<calcChain xmlns="http://schemas.openxmlformats.org/spreadsheetml/2006/main">
  <c r="C47" i="31" l="1"/>
  <c r="B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C17" i="31"/>
  <c r="C24" i="31" s="1"/>
  <c r="D26" i="31"/>
  <c r="D23" i="31"/>
  <c r="D21" i="31"/>
  <c r="D47" i="31" l="1"/>
  <c r="D22" i="31"/>
  <c r="D19" i="31"/>
  <c r="B17" i="31"/>
  <c r="B24" i="31" s="1"/>
  <c r="D16" i="31"/>
  <c r="D15" i="31"/>
  <c r="D14" i="31"/>
  <c r="D13" i="31"/>
  <c r="D12" i="31"/>
  <c r="D11" i="31"/>
  <c r="D10" i="31"/>
  <c r="D9" i="31"/>
  <c r="D8" i="31"/>
  <c r="C49" i="30"/>
  <c r="D49" i="30" s="1"/>
  <c r="B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C24" i="30"/>
  <c r="D24" i="30" s="1"/>
  <c r="D23" i="30"/>
  <c r="D22" i="30"/>
  <c r="D21" i="30"/>
  <c r="C19" i="30"/>
  <c r="C26" i="30" s="1"/>
  <c r="B19" i="30"/>
  <c r="B26" i="30" s="1"/>
  <c r="D18" i="30"/>
  <c r="D17" i="30"/>
  <c r="D16" i="30"/>
  <c r="D15" i="30"/>
  <c r="D14" i="30"/>
  <c r="D13" i="30"/>
  <c r="D12" i="30"/>
  <c r="D11" i="30"/>
  <c r="C10" i="30"/>
  <c r="D10" i="30" s="1"/>
  <c r="B49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35" i="29"/>
  <c r="D16" i="29"/>
  <c r="D25" i="27"/>
  <c r="D22" i="29"/>
  <c r="D23" i="29"/>
  <c r="D24" i="29"/>
  <c r="D21" i="29"/>
  <c r="C24" i="29"/>
  <c r="C24" i="28"/>
  <c r="D24" i="31" l="1"/>
  <c r="D17" i="31"/>
  <c r="D26" i="30"/>
  <c r="D19" i="30"/>
  <c r="C49" i="29"/>
  <c r="D49" i="29" s="1"/>
  <c r="C10" i="29" l="1"/>
  <c r="C19" i="29" s="1"/>
  <c r="C26" i="29" s="1"/>
  <c r="C25" i="27"/>
  <c r="B19" i="29"/>
  <c r="D11" i="29"/>
  <c r="D12" i="29"/>
  <c r="D13" i="29"/>
  <c r="D14" i="29"/>
  <c r="D15" i="29"/>
  <c r="D17" i="29"/>
  <c r="D18" i="29"/>
  <c r="D10" i="29"/>
  <c r="B26" i="29" l="1"/>
  <c r="D26" i="29" s="1"/>
  <c r="D19" i="29"/>
  <c r="D37" i="28" l="1"/>
  <c r="D39" i="28"/>
  <c r="D40" i="28"/>
  <c r="D45" i="28"/>
  <c r="D33" i="28"/>
  <c r="D22" i="28"/>
  <c r="D20" i="28"/>
  <c r="B21" i="28"/>
  <c r="D21" i="28" s="1"/>
  <c r="B19" i="28"/>
  <c r="D15" i="28"/>
  <c r="D14" i="28"/>
  <c r="D13" i="28"/>
  <c r="C12" i="28"/>
  <c r="D12" i="28" s="1"/>
  <c r="D11" i="28"/>
  <c r="D10" i="28"/>
  <c r="C11" i="28"/>
  <c r="C19" i="28" s="1"/>
  <c r="C13" i="28"/>
  <c r="C15" i="28"/>
  <c r="C16" i="28"/>
  <c r="D16" i="28" s="1"/>
  <c r="C17" i="28"/>
  <c r="D17" i="28" s="1"/>
  <c r="C18" i="28"/>
  <c r="D18" i="28" s="1"/>
  <c r="C21" i="28"/>
  <c r="C23" i="28"/>
  <c r="D23" i="28" s="1"/>
  <c r="C27" i="28"/>
  <c r="C26" i="28"/>
  <c r="C41" i="28"/>
  <c r="D41" i="28" s="1"/>
  <c r="C38" i="28"/>
  <c r="D38" i="28" s="1"/>
  <c r="C39" i="28"/>
  <c r="C42" i="28"/>
  <c r="D42" i="28" s="1"/>
  <c r="C43" i="28"/>
  <c r="C44" i="28"/>
  <c r="D44" i="28" s="1"/>
  <c r="C45" i="28"/>
  <c r="C40" i="28"/>
  <c r="C37" i="28"/>
  <c r="C36" i="28"/>
  <c r="D36" i="28" s="1"/>
  <c r="C35" i="28"/>
  <c r="D35" i="28" s="1"/>
  <c r="C34" i="28"/>
  <c r="D34" i="28" s="1"/>
  <c r="C33" i="28"/>
  <c r="D43" i="28" l="1"/>
  <c r="B43" i="28"/>
  <c r="B46" i="28" s="1"/>
  <c r="B24" i="28"/>
  <c r="D24" i="28" s="1"/>
  <c r="D19" i="28"/>
  <c r="C46" i="28"/>
  <c r="D46" i="28" s="1"/>
  <c r="B33" i="27" l="1"/>
  <c r="B27" i="27"/>
  <c r="C27" i="27"/>
  <c r="C26" i="27"/>
  <c r="B23" i="27"/>
  <c r="B21" i="27"/>
  <c r="C24" i="27"/>
  <c r="B24" i="27" s="1"/>
  <c r="C23" i="27"/>
  <c r="C21" i="27"/>
  <c r="C10" i="27"/>
  <c r="D10" i="27" s="1"/>
  <c r="C18" i="27"/>
  <c r="C17" i="27"/>
  <c r="C15" i="27"/>
  <c r="C14" i="27"/>
  <c r="C13" i="27"/>
  <c r="C12" i="27"/>
  <c r="C11" i="27"/>
  <c r="B19" i="27"/>
  <c r="B18" i="27"/>
  <c r="B17" i="27"/>
  <c r="B16" i="27"/>
  <c r="B15" i="27"/>
  <c r="B14" i="27"/>
  <c r="B13" i="27"/>
  <c r="B12" i="27"/>
  <c r="B11" i="27"/>
  <c r="B10" i="27"/>
  <c r="C19" i="27" l="1"/>
  <c r="C45" i="27"/>
  <c r="D45" i="27" s="1"/>
  <c r="C44" i="27"/>
  <c r="C43" i="27"/>
  <c r="C42" i="27"/>
  <c r="C41" i="27"/>
  <c r="D41" i="27" s="1"/>
  <c r="C40" i="27"/>
  <c r="D40" i="27" s="1"/>
  <c r="C39" i="27"/>
  <c r="C38" i="27"/>
  <c r="C36" i="27"/>
  <c r="C35" i="27"/>
  <c r="D35" i="27" s="1"/>
  <c r="C34" i="27"/>
  <c r="C33" i="27"/>
  <c r="D33" i="27" s="1"/>
  <c r="D42" i="27"/>
  <c r="D34" i="27"/>
  <c r="D38" i="27"/>
  <c r="D39" i="27"/>
  <c r="D43" i="27"/>
  <c r="D44" i="27"/>
  <c r="B46" i="27"/>
  <c r="D24" i="27"/>
  <c r="D23" i="27"/>
  <c r="D21" i="27"/>
  <c r="D20" i="27"/>
  <c r="B25" i="27"/>
  <c r="D18" i="27"/>
  <c r="D17" i="27"/>
  <c r="D16" i="27"/>
  <c r="D15" i="27"/>
  <c r="D14" i="27"/>
  <c r="D13" i="27"/>
  <c r="D12" i="27"/>
  <c r="D11" i="27"/>
  <c r="C46" i="27" l="1"/>
  <c r="D36" i="27"/>
  <c r="D46" i="27"/>
  <c r="D19" i="27"/>
</calcChain>
</file>

<file path=xl/sharedStrings.xml><?xml version="1.0" encoding="utf-8"?>
<sst xmlns="http://schemas.openxmlformats.org/spreadsheetml/2006/main" count="233" uniqueCount="54">
  <si>
    <t>Եկամտային մաս.</t>
  </si>
  <si>
    <t>հազար դրամ</t>
  </si>
  <si>
    <t>Եկամտատեսակ</t>
  </si>
  <si>
    <t>Կատարման տոկոս</t>
  </si>
  <si>
    <t>Գույքահարկ</t>
  </si>
  <si>
    <t>Տեղական տուրքեր</t>
  </si>
  <si>
    <t>Պետական բյուջեից ֆինանսական համահարթեցման սկզբունքով տրամադրվող դոտացիաներ</t>
  </si>
  <si>
    <t>Ծախսային մաս</t>
  </si>
  <si>
    <t>Դրամով վճարվող աշխատավարձեր և հավելավճարներ</t>
  </si>
  <si>
    <t xml:space="preserve"> Էներգետիկ  ծառայություններ</t>
  </si>
  <si>
    <t>Կապի ծառայություններ</t>
  </si>
  <si>
    <t>Դրամաշնորհներ</t>
  </si>
  <si>
    <t>Սոցիալական նպաստներ և կենսաթոշակներ</t>
  </si>
  <si>
    <t>Այլ ծախսեր</t>
  </si>
  <si>
    <t>Շենքների և շինությունների կապիտալ վերանորոգում, շինարարություն</t>
  </si>
  <si>
    <t>Մեքենաներ և սարքավորումներ, այլ հիմնական միջոցներ</t>
  </si>
  <si>
    <t>Պետական բյուջեից համայնքի վարչական բյուջեին տրամադրվող այլ դոտացիաներ</t>
  </si>
  <si>
    <t>Ընդամենը</t>
  </si>
  <si>
    <t>Ապահովագրական ծախսեր</t>
  </si>
  <si>
    <t>Հողի վարձավճար համայնքների վարչական տարածքներում գտնվող հողի համար</t>
  </si>
  <si>
    <t>Գույքի վարձակալությունից եկամուտներ</t>
  </si>
  <si>
    <t>Արտադպրոցական դաստիարակություն</t>
  </si>
  <si>
    <t>Այլ հիմնական միջոցների իրացումից մուտքեր</t>
  </si>
  <si>
    <t>Աղբահանության, խմելու ջրի և ոռոգման ջրի վճարներ</t>
  </si>
  <si>
    <t>Մանկապարտեզի ծնողական վճարներ</t>
  </si>
  <si>
    <r>
      <rPr>
        <b/>
        <sz val="12"/>
        <color theme="1"/>
        <rFont val="GHEA Grapalat"/>
        <family val="3"/>
      </rPr>
      <t>Այլ եկամուտներ</t>
    </r>
    <r>
      <rPr>
        <sz val="12"/>
        <color theme="1"/>
        <rFont val="GHEA Grapalat"/>
        <family val="3"/>
      </rPr>
      <t>/օրենքով և իրավական այլ ակտերով սահմանված` համայնքի բյուջե մուտքագրման ենթակա այլ եկամուտներ/</t>
    </r>
  </si>
  <si>
    <t>Պետական բյուջեից տրամադրվող նպատակային հատկացումներ/սուբվենցիաներ/</t>
  </si>
  <si>
    <t>Նախագծահետազոտական ծախսեր</t>
  </si>
  <si>
    <t>Պայմանագրային ծառայությունների և ապրանքների ձեռք բերում</t>
  </si>
  <si>
    <t>Անշարժ գույքի հարկ համայնքների վարչական տարածքներում գտնվող հողի համար</t>
  </si>
  <si>
    <t>Նախատեսված</t>
  </si>
  <si>
    <t xml:space="preserve">Կատարողական </t>
  </si>
  <si>
    <t>ՉԱՐՏԱԴՐՎԱԾ ԱԿՏԻՎՆԵՐԻ ԻՐԱՑՈՒՄԻՑ  /Հողի օտարումից/ՄՈՒՏՔԵՐ</t>
  </si>
  <si>
    <t>Գործուղումների և շրջագայությունների ծախսեր</t>
  </si>
  <si>
    <t xml:space="preserve">Նախատեսված  </t>
  </si>
  <si>
    <t>Նվիր., ժառանգ. Իրավ. ֆիզ. անձ. և կազմակերպ.-ից</t>
  </si>
  <si>
    <t>ԱՇԽԱՏԱԿԱԶՄԻ  ՔԱՐՏՈՒՂԱՐ՝                                        ԳԵՎՈՐԳ  ՍԻՄՈՆՅԱՆ</t>
  </si>
  <si>
    <t>Ընդամենը սեփական եկամուտներ</t>
  </si>
  <si>
    <t>Ընդամենը եկամուտներ</t>
  </si>
  <si>
    <t>Կապիտալ ներքին պաշտոնական դրամաշնորհներ՝ ստացված կառավարման այլ մակարդակներից /սուբվենցիաներ/</t>
  </si>
  <si>
    <t xml:space="preserve">Հավելված Արենի համայնքի ավագանու 01.03.2024թ-ի թիվ 033-Ա որոշման </t>
  </si>
  <si>
    <t>Սուբսիդիաներ</t>
  </si>
  <si>
    <t>2024թ առաջին եռամսյակ</t>
  </si>
  <si>
    <t>03.04.2024թ.-ի թիվ 040-Ա որոշման</t>
  </si>
  <si>
    <t>2024թ առաջին կիսամյակ</t>
  </si>
  <si>
    <t>12.07.2024թ.-ի թիվ 103-Ա որոշման</t>
  </si>
  <si>
    <r>
      <rPr>
        <b/>
        <sz val="12"/>
        <color theme="1"/>
        <rFont val="Arial AM"/>
        <family val="2"/>
      </rPr>
      <t>Այլ եկամուտներ</t>
    </r>
    <r>
      <rPr>
        <sz val="12"/>
        <color theme="1"/>
        <rFont val="Arial AM"/>
        <family val="2"/>
      </rPr>
      <t>/օրենքով և իրավական այլ ակտերով սահմանված` համայնքի բյուջե մուտքագրման ենթակա այլ եկամուտներ/</t>
    </r>
  </si>
  <si>
    <t>Պարգևատրումներ</t>
  </si>
  <si>
    <t>2024թ 9 ամիս</t>
  </si>
  <si>
    <t>11.10.2024թ.-ի թիվ 147-Ա որոշման</t>
  </si>
  <si>
    <t xml:space="preserve">2024թ </t>
  </si>
  <si>
    <t>Այլ դոտացիաներ</t>
  </si>
  <si>
    <r>
      <rPr>
        <b/>
        <sz val="10"/>
        <color theme="1"/>
        <rFont val="Arial AM"/>
        <family val="2"/>
      </rPr>
      <t>Այլ եկամուտներ</t>
    </r>
    <r>
      <rPr>
        <sz val="10"/>
        <color theme="1"/>
        <rFont val="Arial AM"/>
        <family val="2"/>
      </rPr>
      <t>/օրենքով և իրավական այլ ակտերով սահմանված` համայնքի բյուջե մուտքագրման ենթակա այլ եկամուտներ/</t>
    </r>
  </si>
  <si>
    <t>03.03.2025թ.-ի թիվ 038-Ա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</si>
</sst>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sz val="12"/>
      <color rgb="FFFF0000"/>
      <name val="GHEA Grapalat"/>
      <family val="3"/>
    </font>
    <font>
      <sz val="12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sz val="12"/>
      <color theme="1"/>
      <name val="Arial AM"/>
      <family val="2"/>
    </font>
    <font>
      <sz val="12"/>
      <name val="Arial AM"/>
      <family val="2"/>
    </font>
    <font>
      <sz val="12"/>
      <color rgb="FFFF0000"/>
      <name val="Arial AM"/>
      <family val="2"/>
    </font>
    <font>
      <b/>
      <sz val="12"/>
      <color theme="1"/>
      <name val="Arial AM"/>
      <family val="2"/>
    </font>
    <font>
      <sz val="11"/>
      <color theme="1"/>
      <name val="Arial AM"/>
      <family val="2"/>
    </font>
    <font>
      <b/>
      <sz val="12"/>
      <name val="Arial AM"/>
      <family val="2"/>
    </font>
    <font>
      <sz val="10"/>
      <color theme="1"/>
      <name val="Arial AM"/>
      <family val="2"/>
      <charset val="204"/>
    </font>
    <font>
      <sz val="10"/>
      <color rgb="FFFF0000"/>
      <name val="Arial AM"/>
      <family val="2"/>
      <charset val="204"/>
    </font>
    <font>
      <b/>
      <sz val="10"/>
      <color theme="1"/>
      <name val="Arial AM"/>
      <family val="2"/>
      <charset val="204"/>
    </font>
    <font>
      <sz val="10"/>
      <name val="Arial AM"/>
      <family val="2"/>
      <charset val="204"/>
    </font>
    <font>
      <b/>
      <sz val="10"/>
      <color theme="1"/>
      <name val="Arial AM"/>
      <family val="2"/>
    </font>
    <font>
      <sz val="10"/>
      <color theme="1"/>
      <name val="Arial AM"/>
      <family val="2"/>
    </font>
    <font>
      <b/>
      <sz val="10"/>
      <name val="Arial AM"/>
      <family val="2"/>
      <charset val="204"/>
    </font>
    <font>
      <sz val="10"/>
      <name val="GHEA Grapalat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/>
    <xf numFmtId="0" fontId="1" fillId="0" borderId="3" xfId="0" applyFont="1" applyBorder="1" applyAlignment="1">
      <alignment vertical="center" wrapText="1"/>
    </xf>
    <xf numFmtId="0" fontId="4" fillId="0" borderId="0" xfId="0" applyFont="1"/>
    <xf numFmtId="164" fontId="4" fillId="0" borderId="3" xfId="0" applyNumberFormat="1" applyFont="1" applyBorder="1"/>
    <xf numFmtId="0" fontId="4" fillId="0" borderId="3" xfId="0" applyFont="1" applyBorder="1" applyAlignment="1">
      <alignment vertical="center" wrapText="1"/>
    </xf>
    <xf numFmtId="164" fontId="4" fillId="2" borderId="3" xfId="0" applyNumberFormat="1" applyFont="1" applyFill="1" applyBorder="1"/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/>
    <xf numFmtId="164" fontId="4" fillId="0" borderId="3" xfId="0" applyNumberFormat="1" applyFont="1" applyBorder="1" applyAlignment="1">
      <alignment horizontal="center" vertical="center"/>
    </xf>
    <xf numFmtId="164" fontId="6" fillId="2" borderId="3" xfId="0" applyNumberFormat="1" applyFont="1" applyFill="1" applyBorder="1"/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164" fontId="6" fillId="2" borderId="0" xfId="0" applyNumberFormat="1" applyFont="1" applyFill="1"/>
    <xf numFmtId="164" fontId="2" fillId="0" borderId="1" xfId="0" applyNumberFormat="1" applyFont="1" applyBorder="1"/>
    <xf numFmtId="164" fontId="2" fillId="0" borderId="2" xfId="0" applyNumberFormat="1" applyFont="1" applyBorder="1"/>
    <xf numFmtId="0" fontId="4" fillId="0" borderId="0" xfId="0" applyFont="1" applyAlignment="1">
      <alignment vertical="center" wrapText="1"/>
    </xf>
    <xf numFmtId="164" fontId="4" fillId="0" borderId="0" xfId="0" applyNumberFormat="1" applyFont="1"/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164" fontId="2" fillId="0" borderId="3" xfId="0" applyNumberFormat="1" applyFont="1" applyBorder="1"/>
    <xf numFmtId="0" fontId="1" fillId="0" borderId="0" xfId="0" applyFont="1" applyAlignment="1">
      <alignment horizontal="center"/>
    </xf>
    <xf numFmtId="0" fontId="4" fillId="2" borderId="0" xfId="0" applyFont="1" applyFill="1" applyAlignment="1">
      <alignment vertical="center" wrapText="1"/>
    </xf>
    <xf numFmtId="164" fontId="4" fillId="2" borderId="0" xfId="0" applyNumberFormat="1" applyFont="1" applyFill="1"/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1" fillId="2" borderId="3" xfId="0" applyNumberFormat="1" applyFont="1" applyFill="1" applyBorder="1"/>
    <xf numFmtId="164" fontId="6" fillId="0" borderId="3" xfId="0" applyNumberFormat="1" applyFont="1" applyBorder="1"/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horizontal="center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164" fontId="8" fillId="0" borderId="3" xfId="0" applyNumberFormat="1" applyFont="1" applyBorder="1"/>
    <xf numFmtId="0" fontId="8" fillId="0" borderId="0" xfId="0" applyFont="1"/>
    <xf numFmtId="0" fontId="7" fillId="0" borderId="3" xfId="0" applyFont="1" applyBorder="1" applyAlignment="1">
      <alignment vertical="center" wrapText="1"/>
    </xf>
    <xf numFmtId="164" fontId="8" fillId="2" borderId="3" xfId="0" applyNumberFormat="1" applyFont="1" applyFill="1" applyBorder="1"/>
    <xf numFmtId="164" fontId="10" fillId="0" borderId="1" xfId="0" applyNumberFormat="1" applyFont="1" applyBorder="1"/>
    <xf numFmtId="164" fontId="10" fillId="0" borderId="2" xfId="0" applyNumberFormat="1" applyFont="1" applyBorder="1"/>
    <xf numFmtId="164" fontId="12" fillId="0" borderId="3" xfId="0" applyNumberFormat="1" applyFont="1" applyBorder="1"/>
    <xf numFmtId="0" fontId="8" fillId="2" borderId="3" xfId="0" applyFont="1" applyFill="1" applyBorder="1" applyAlignment="1">
      <alignment vertical="center" wrapText="1"/>
    </xf>
    <xf numFmtId="0" fontId="8" fillId="2" borderId="0" xfId="0" applyFont="1" applyFill="1"/>
    <xf numFmtId="164" fontId="7" fillId="2" borderId="3" xfId="0" applyNumberFormat="1" applyFont="1" applyFill="1" applyBorder="1"/>
    <xf numFmtId="0" fontId="12" fillId="2" borderId="3" xfId="0" applyFont="1" applyFill="1" applyBorder="1" applyAlignment="1">
      <alignment vertical="center" wrapText="1"/>
    </xf>
    <xf numFmtId="164" fontId="12" fillId="2" borderId="3" xfId="0" applyNumberFormat="1" applyFont="1" applyFill="1" applyBorder="1"/>
    <xf numFmtId="0" fontId="8" fillId="2" borderId="0" xfId="0" applyFont="1" applyFill="1" applyAlignment="1">
      <alignment vertical="center" wrapText="1"/>
    </xf>
    <xf numFmtId="164" fontId="8" fillId="2" borderId="0" xfId="0" applyNumberFormat="1" applyFont="1" applyFill="1"/>
    <xf numFmtId="164" fontId="12" fillId="2" borderId="0" xfId="0" applyNumberFormat="1" applyFont="1" applyFill="1"/>
    <xf numFmtId="0" fontId="12" fillId="2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164" fontId="8" fillId="0" borderId="0" xfId="0" applyNumberFormat="1" applyFont="1"/>
    <xf numFmtId="0" fontId="12" fillId="0" borderId="3" xfId="0" applyFont="1" applyBorder="1" applyAlignment="1">
      <alignment vertical="center" wrapText="1"/>
    </xf>
    <xf numFmtId="164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/>
    </xf>
    <xf numFmtId="0" fontId="7" fillId="2" borderId="3" xfId="0" applyFont="1" applyFill="1" applyBorder="1" applyAlignment="1">
      <alignment vertical="center" wrapText="1"/>
    </xf>
    <xf numFmtId="164" fontId="7" fillId="0" borderId="3" xfId="0" applyNumberFormat="1" applyFont="1" applyBorder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15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164" fontId="13" fillId="2" borderId="3" xfId="0" applyNumberFormat="1" applyFont="1" applyFill="1" applyBorder="1"/>
    <xf numFmtId="0" fontId="16" fillId="0" borderId="0" xfId="0" applyFont="1"/>
    <xf numFmtId="0" fontId="16" fillId="2" borderId="3" xfId="0" applyFont="1" applyFill="1" applyBorder="1" applyAlignment="1">
      <alignment vertical="center" wrapText="1"/>
    </xf>
    <xf numFmtId="164" fontId="16" fillId="2" borderId="3" xfId="0" applyNumberFormat="1" applyFont="1" applyFill="1" applyBorder="1"/>
    <xf numFmtId="0" fontId="16" fillId="0" borderId="3" xfId="0" applyFont="1" applyBorder="1" applyAlignment="1">
      <alignment vertical="center" wrapText="1"/>
    </xf>
    <xf numFmtId="164" fontId="13" fillId="0" borderId="3" xfId="0" applyNumberFormat="1" applyFont="1" applyBorder="1"/>
    <xf numFmtId="164" fontId="16" fillId="0" borderId="3" xfId="0" applyNumberFormat="1" applyFont="1" applyBorder="1"/>
    <xf numFmtId="0" fontId="13" fillId="0" borderId="3" xfId="0" applyFont="1" applyBorder="1" applyAlignment="1">
      <alignment vertical="center" wrapText="1"/>
    </xf>
    <xf numFmtId="164" fontId="15" fillId="0" borderId="1" xfId="0" applyNumberFormat="1" applyFont="1" applyBorder="1"/>
    <xf numFmtId="164" fontId="15" fillId="0" borderId="2" xfId="0" applyNumberFormat="1" applyFont="1" applyBorder="1"/>
    <xf numFmtId="164" fontId="19" fillId="0" borderId="3" xfId="0" applyNumberFormat="1" applyFont="1" applyBorder="1"/>
    <xf numFmtId="0" fontId="16" fillId="2" borderId="0" xfId="0" applyFont="1" applyFill="1"/>
    <xf numFmtId="0" fontId="19" fillId="2" borderId="3" xfId="0" applyFont="1" applyFill="1" applyBorder="1" applyAlignment="1">
      <alignment vertical="center" wrapText="1"/>
    </xf>
    <xf numFmtId="164" fontId="19" fillId="2" borderId="3" xfId="0" applyNumberFormat="1" applyFont="1" applyFill="1" applyBorder="1"/>
    <xf numFmtId="164" fontId="15" fillId="0" borderId="3" xfId="0" applyNumberFormat="1" applyFont="1" applyBorder="1"/>
    <xf numFmtId="0" fontId="16" fillId="2" borderId="0" xfId="0" applyFont="1" applyFill="1" applyAlignment="1">
      <alignment vertical="center" wrapText="1"/>
    </xf>
    <xf numFmtId="164" fontId="16" fillId="2" borderId="0" xfId="0" applyNumberFormat="1" applyFont="1" applyFill="1"/>
    <xf numFmtId="164" fontId="19" fillId="2" borderId="0" xfId="0" applyNumberFormat="1" applyFont="1" applyFill="1"/>
    <xf numFmtId="0" fontId="19" fillId="2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164" fontId="16" fillId="0" borderId="0" xfId="0" applyNumberFormat="1" applyFont="1"/>
    <xf numFmtId="0" fontId="19" fillId="0" borderId="3" xfId="0" applyFont="1" applyBorder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/>
    </xf>
    <xf numFmtId="164" fontId="16" fillId="2" borderId="3" xfId="0" applyNumberFormat="1" applyFont="1" applyFill="1" applyBorder="1" applyAlignment="1">
      <alignment horizontal="center" vertical="center"/>
    </xf>
    <xf numFmtId="164" fontId="19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9"/>
  <sheetViews>
    <sheetView topLeftCell="A15" workbookViewId="0">
      <selection activeCell="B32" sqref="B32:D32"/>
    </sheetView>
  </sheetViews>
  <sheetFormatPr defaultRowHeight="17.25"/>
  <cols>
    <col min="1" max="1" width="49.85546875" style="1" customWidth="1"/>
    <col min="2" max="2" width="17.85546875" style="1" customWidth="1"/>
    <col min="3" max="3" width="19.28515625" style="1" customWidth="1"/>
    <col min="4" max="4" width="15.42578125" style="1" customWidth="1"/>
    <col min="5" max="5" width="9.140625" style="1"/>
    <col min="6" max="6" width="13.28515625" style="1" customWidth="1"/>
    <col min="7" max="16384" width="9.140625" style="1"/>
  </cols>
  <sheetData>
    <row r="2" spans="1:6">
      <c r="B2" s="100" t="s">
        <v>40</v>
      </c>
      <c r="C2" s="100"/>
      <c r="D2" s="100"/>
    </row>
    <row r="3" spans="1:6">
      <c r="A3" s="3"/>
      <c r="B3" s="101" t="s">
        <v>43</v>
      </c>
      <c r="C3" s="101"/>
      <c r="D3" s="101"/>
    </row>
    <row r="4" spans="1:6">
      <c r="A4" s="3"/>
      <c r="B4" s="26"/>
      <c r="C4" s="26"/>
      <c r="D4" s="26"/>
    </row>
    <row r="5" spans="1:6">
      <c r="A5" s="101" t="s">
        <v>42</v>
      </c>
      <c r="B5" s="101"/>
      <c r="C5" s="101"/>
      <c r="D5" s="101"/>
    </row>
    <row r="6" spans="1:6">
      <c r="A6" s="102"/>
      <c r="B6" s="102"/>
      <c r="C6" s="102"/>
      <c r="D6" s="102"/>
    </row>
    <row r="8" spans="1:6">
      <c r="A8" s="1" t="s">
        <v>0</v>
      </c>
      <c r="C8" s="1" t="s">
        <v>1</v>
      </c>
    </row>
    <row r="9" spans="1:6" s="2" customFormat="1" ht="34.5">
      <c r="A9" s="24" t="s">
        <v>2</v>
      </c>
      <c r="B9" s="29" t="s">
        <v>30</v>
      </c>
      <c r="C9" s="30" t="s">
        <v>31</v>
      </c>
      <c r="D9" s="30" t="s">
        <v>3</v>
      </c>
    </row>
    <row r="10" spans="1:6" s="5" customFormat="1" ht="51.75">
      <c r="A10" s="7" t="s">
        <v>29</v>
      </c>
      <c r="B10" s="6">
        <f>1873000/1000</f>
        <v>1873</v>
      </c>
      <c r="C10" s="6">
        <f>2765568/1000</f>
        <v>2765.5680000000002</v>
      </c>
      <c r="D10" s="6">
        <f>C10/B10*100</f>
        <v>147.65445808862788</v>
      </c>
    </row>
    <row r="11" spans="1:6" s="5" customFormat="1" ht="34.5">
      <c r="A11" s="7" t="s">
        <v>19</v>
      </c>
      <c r="B11" s="6">
        <f>6115000/1000</f>
        <v>6115</v>
      </c>
      <c r="C11" s="6">
        <f>8700052/1000</f>
        <v>8700.0519999999997</v>
      </c>
      <c r="D11" s="6">
        <f t="shared" ref="D11:D18" si="0">C11/B11*100</f>
        <v>142.27394930498772</v>
      </c>
    </row>
    <row r="12" spans="1:6" s="5" customFormat="1">
      <c r="A12" s="7" t="s">
        <v>4</v>
      </c>
      <c r="B12" s="6">
        <f>9294000/1000</f>
        <v>9294</v>
      </c>
      <c r="C12" s="6">
        <f>17099365/1000</f>
        <v>17099.365000000002</v>
      </c>
      <c r="D12" s="6">
        <f t="shared" si="0"/>
        <v>183.98283839035938</v>
      </c>
    </row>
    <row r="13" spans="1:6" s="5" customFormat="1">
      <c r="A13" s="7" t="s">
        <v>5</v>
      </c>
      <c r="B13" s="6">
        <f>1504200/1000</f>
        <v>1504.2</v>
      </c>
      <c r="C13" s="6">
        <f>4978167/1000</f>
        <v>4978.1670000000004</v>
      </c>
      <c r="D13" s="6">
        <f t="shared" si="0"/>
        <v>330.95113681691265</v>
      </c>
    </row>
    <row r="14" spans="1:6" s="5" customFormat="1">
      <c r="A14" s="7" t="s">
        <v>20</v>
      </c>
      <c r="B14" s="6">
        <f>282000/1000</f>
        <v>282</v>
      </c>
      <c r="C14" s="6">
        <f>180000/1000</f>
        <v>180</v>
      </c>
      <c r="D14" s="6">
        <f t="shared" si="0"/>
        <v>63.829787234042556</v>
      </c>
    </row>
    <row r="15" spans="1:6" ht="34.5">
      <c r="A15" s="4" t="s">
        <v>23</v>
      </c>
      <c r="B15" s="6">
        <f>3278000/1000</f>
        <v>3278</v>
      </c>
      <c r="C15" s="6">
        <f>3527009/1000</f>
        <v>3527.009</v>
      </c>
      <c r="D15" s="6">
        <f t="shared" si="0"/>
        <v>107.59636973764491</v>
      </c>
      <c r="F15" s="5"/>
    </row>
    <row r="16" spans="1:6">
      <c r="A16" s="4" t="s">
        <v>24</v>
      </c>
      <c r="B16" s="8">
        <f>1240000/1000</f>
        <v>1240</v>
      </c>
      <c r="C16" s="6">
        <v>0</v>
      </c>
      <c r="D16" s="6">
        <f t="shared" si="0"/>
        <v>0</v>
      </c>
      <c r="F16" s="5"/>
    </row>
    <row r="17" spans="1:6">
      <c r="A17" s="4" t="s">
        <v>21</v>
      </c>
      <c r="B17" s="8">
        <f>630000/1000</f>
        <v>630</v>
      </c>
      <c r="C17" s="6">
        <f>630000/1000</f>
        <v>630</v>
      </c>
      <c r="D17" s="6">
        <f t="shared" si="0"/>
        <v>100</v>
      </c>
      <c r="F17" s="5"/>
    </row>
    <row r="18" spans="1:6" ht="51.75">
      <c r="A18" s="4" t="s">
        <v>25</v>
      </c>
      <c r="B18" s="6">
        <f>900000/1000</f>
        <v>900</v>
      </c>
      <c r="C18" s="6">
        <f>2536416/1000</f>
        <v>2536.4160000000002</v>
      </c>
      <c r="D18" s="6">
        <f t="shared" si="0"/>
        <v>281.82400000000001</v>
      </c>
      <c r="F18" s="5"/>
    </row>
    <row r="19" spans="1:6">
      <c r="A19" s="24" t="s">
        <v>37</v>
      </c>
      <c r="B19" s="16">
        <f>SUM(B10:B18)</f>
        <v>25116.2</v>
      </c>
      <c r="C19" s="17">
        <f>SUM(C10:C18)</f>
        <v>40416.576999999997</v>
      </c>
      <c r="D19" s="25">
        <f>C19/B19*100</f>
        <v>160.91835946520573</v>
      </c>
    </row>
    <row r="20" spans="1:6" s="10" customFormat="1" ht="34.5" hidden="1">
      <c r="A20" s="9" t="s">
        <v>35</v>
      </c>
      <c r="B20" s="8"/>
      <c r="C20" s="8"/>
      <c r="D20" s="6" t="e">
        <f>C20/B20*100</f>
        <v>#DIV/0!</v>
      </c>
    </row>
    <row r="21" spans="1:6" ht="51.75">
      <c r="A21" s="4" t="s">
        <v>6</v>
      </c>
      <c r="B21" s="8">
        <f>C21</f>
        <v>106929.60000000001</v>
      </c>
      <c r="C21" s="6">
        <f>106929600/1000</f>
        <v>106929.60000000001</v>
      </c>
      <c r="D21" s="6">
        <f t="shared" ref="D21:D24" si="1">C21/B21*100</f>
        <v>100</v>
      </c>
    </row>
    <row r="22" spans="1:6" ht="34.5" hidden="1">
      <c r="A22" s="4" t="s">
        <v>16</v>
      </c>
      <c r="B22" s="8"/>
      <c r="C22" s="6"/>
      <c r="D22" s="6">
        <v>100</v>
      </c>
    </row>
    <row r="23" spans="1:6" ht="51.75">
      <c r="A23" s="4" t="s">
        <v>26</v>
      </c>
      <c r="B23" s="8">
        <f>C23</f>
        <v>134.69999999999999</v>
      </c>
      <c r="C23" s="6">
        <f>134700/1000</f>
        <v>134.69999999999999</v>
      </c>
      <c r="D23" s="6">
        <f t="shared" si="1"/>
        <v>100</v>
      </c>
    </row>
    <row r="24" spans="1:6" s="5" customFormat="1" ht="51.75">
      <c r="A24" s="7" t="s">
        <v>39</v>
      </c>
      <c r="B24" s="8">
        <f>C24</f>
        <v>26067</v>
      </c>
      <c r="C24" s="6">
        <f>26067000/1000</f>
        <v>26067</v>
      </c>
      <c r="D24" s="6">
        <f t="shared" si="1"/>
        <v>100</v>
      </c>
    </row>
    <row r="25" spans="1:6" s="10" customFormat="1">
      <c r="A25" s="13" t="s">
        <v>38</v>
      </c>
      <c r="B25" s="12">
        <f>SUM(B19:B24)</f>
        <v>158247.50000000003</v>
      </c>
      <c r="C25" s="12">
        <f>SUM(C19:C24)</f>
        <v>173547.87700000001</v>
      </c>
      <c r="D25" s="12">
        <f>C25/B25*100</f>
        <v>109.66863741923251</v>
      </c>
    </row>
    <row r="26" spans="1:6" s="10" customFormat="1" ht="34.5">
      <c r="A26" s="9" t="s">
        <v>22</v>
      </c>
      <c r="B26" s="8"/>
      <c r="C26" s="8">
        <f>658671/1000</f>
        <v>658.67100000000005</v>
      </c>
      <c r="D26" s="12"/>
    </row>
    <row r="27" spans="1:6" s="10" customFormat="1" ht="34.5">
      <c r="A27" s="9" t="s">
        <v>32</v>
      </c>
      <c r="B27" s="8">
        <f>20000000/1000</f>
        <v>20000</v>
      </c>
      <c r="C27" s="8">
        <f>28059514/1000</f>
        <v>28059.513999999999</v>
      </c>
      <c r="D27" s="12"/>
    </row>
    <row r="28" spans="1:6" s="10" customFormat="1" ht="18.75" customHeight="1">
      <c r="A28" s="27"/>
      <c r="B28" s="28"/>
      <c r="C28" s="28"/>
      <c r="D28" s="15"/>
    </row>
    <row r="29" spans="1:6" s="10" customFormat="1" ht="27" hidden="1" customHeight="1">
      <c r="A29" s="27"/>
      <c r="B29" s="28"/>
      <c r="C29" s="28"/>
      <c r="D29" s="15"/>
    </row>
    <row r="30" spans="1:6" s="10" customFormat="1" ht="21" hidden="1" customHeight="1">
      <c r="A30" s="14"/>
      <c r="B30" s="15"/>
      <c r="C30" s="15"/>
      <c r="D30" s="15"/>
    </row>
    <row r="31" spans="1:6" ht="21" customHeight="1">
      <c r="A31" s="18"/>
      <c r="B31" s="19"/>
      <c r="C31" s="19"/>
      <c r="D31" s="19"/>
    </row>
    <row r="32" spans="1:6" ht="34.5">
      <c r="A32" s="20" t="s">
        <v>7</v>
      </c>
      <c r="B32" s="31" t="s">
        <v>34</v>
      </c>
      <c r="C32" s="31" t="s">
        <v>31</v>
      </c>
      <c r="D32" s="31" t="s">
        <v>3</v>
      </c>
    </row>
    <row r="33" spans="1:4" ht="34.5">
      <c r="A33" s="7" t="s">
        <v>8</v>
      </c>
      <c r="B33" s="11">
        <f>45000000/1000</f>
        <v>45000</v>
      </c>
      <c r="C33" s="11">
        <f>26491888/1000</f>
        <v>26491.887999999999</v>
      </c>
      <c r="D33" s="11">
        <f>C33/B33*100</f>
        <v>58.870862222222222</v>
      </c>
    </row>
    <row r="34" spans="1:4" ht="34.5">
      <c r="A34" s="7" t="s">
        <v>33</v>
      </c>
      <c r="B34" s="11">
        <v>100</v>
      </c>
      <c r="C34" s="11">
        <f>68850/1000</f>
        <v>68.849999999999994</v>
      </c>
      <c r="D34" s="11">
        <f t="shared" ref="D34:D45" si="2">C34/B34*100</f>
        <v>68.849999999999994</v>
      </c>
    </row>
    <row r="35" spans="1:4">
      <c r="A35" s="7" t="s">
        <v>9</v>
      </c>
      <c r="B35" s="11">
        <v>10000</v>
      </c>
      <c r="C35" s="11">
        <f>8031231/1000</f>
        <v>8031.2309999999998</v>
      </c>
      <c r="D35" s="11">
        <f t="shared" si="2"/>
        <v>80.312309999999997</v>
      </c>
    </row>
    <row r="36" spans="1:4">
      <c r="A36" s="7" t="s">
        <v>10</v>
      </c>
      <c r="B36" s="11">
        <v>250</v>
      </c>
      <c r="C36" s="11">
        <f>240103/1000</f>
        <v>240.10300000000001</v>
      </c>
      <c r="D36" s="11">
        <f t="shared" si="2"/>
        <v>96.041200000000003</v>
      </c>
    </row>
    <row r="37" spans="1:4">
      <c r="A37" s="7" t="s">
        <v>18</v>
      </c>
      <c r="B37" s="11">
        <v>0</v>
      </c>
      <c r="C37" s="11">
        <v>0</v>
      </c>
      <c r="D37" s="11">
        <v>0</v>
      </c>
    </row>
    <row r="38" spans="1:4" s="5" customFormat="1" ht="34.5">
      <c r="A38" s="7" t="s">
        <v>28</v>
      </c>
      <c r="B38" s="11">
        <v>8000</v>
      </c>
      <c r="C38" s="11">
        <f>7487776/1000</f>
        <v>7487.7759999999998</v>
      </c>
      <c r="D38" s="11">
        <f t="shared" si="2"/>
        <v>93.597200000000001</v>
      </c>
    </row>
    <row r="39" spans="1:4" s="5" customFormat="1">
      <c r="A39" s="7" t="s">
        <v>11</v>
      </c>
      <c r="B39" s="11">
        <v>25000</v>
      </c>
      <c r="C39" s="11">
        <f>21127232/1000</f>
        <v>21127.232</v>
      </c>
      <c r="D39" s="11">
        <f t="shared" si="2"/>
        <v>84.508928000000012</v>
      </c>
    </row>
    <row r="40" spans="1:4" s="5" customFormat="1">
      <c r="A40" s="7" t="s">
        <v>41</v>
      </c>
      <c r="B40" s="11">
        <v>5000</v>
      </c>
      <c r="C40" s="11">
        <f>4473843/1000</f>
        <v>4473.8429999999998</v>
      </c>
      <c r="D40" s="11">
        <f t="shared" si="2"/>
        <v>89.476859999999988</v>
      </c>
    </row>
    <row r="41" spans="1:4" s="5" customFormat="1" ht="34.5">
      <c r="A41" s="7" t="s">
        <v>12</v>
      </c>
      <c r="B41" s="11">
        <v>1500</v>
      </c>
      <c r="C41" s="11">
        <f>1015000/1000</f>
        <v>1015</v>
      </c>
      <c r="D41" s="11">
        <f t="shared" si="2"/>
        <v>67.666666666666657</v>
      </c>
    </row>
    <row r="42" spans="1:4" s="5" customFormat="1">
      <c r="A42" s="7" t="s">
        <v>13</v>
      </c>
      <c r="B42" s="21">
        <v>500</v>
      </c>
      <c r="C42" s="11">
        <f>319500/1000</f>
        <v>319.5</v>
      </c>
      <c r="D42" s="11">
        <f t="shared" si="2"/>
        <v>63.9</v>
      </c>
    </row>
    <row r="43" spans="1:4" s="5" customFormat="1" ht="34.5">
      <c r="A43" s="7" t="s">
        <v>14</v>
      </c>
      <c r="B43" s="11">
        <v>60000</v>
      </c>
      <c r="C43" s="11">
        <f>50293600/1000</f>
        <v>50293.599999999999</v>
      </c>
      <c r="D43" s="11">
        <f t="shared" si="2"/>
        <v>83.822666666666663</v>
      </c>
    </row>
    <row r="44" spans="1:4">
      <c r="A44" s="7" t="s">
        <v>27</v>
      </c>
      <c r="B44" s="22">
        <v>20000</v>
      </c>
      <c r="C44" s="11">
        <f>16157900/1000</f>
        <v>16157.9</v>
      </c>
      <c r="D44" s="11">
        <f t="shared" si="2"/>
        <v>80.789500000000004</v>
      </c>
    </row>
    <row r="45" spans="1:4" s="5" customFormat="1" ht="34.5">
      <c r="A45" s="7" t="s">
        <v>15</v>
      </c>
      <c r="B45" s="11">
        <v>25000</v>
      </c>
      <c r="C45" s="11">
        <f>2371200/1000</f>
        <v>2371.1999999999998</v>
      </c>
      <c r="D45" s="11">
        <f t="shared" si="2"/>
        <v>9.4847999999999981</v>
      </c>
    </row>
    <row r="46" spans="1:4">
      <c r="A46" s="20" t="s">
        <v>17</v>
      </c>
      <c r="B46" s="23">
        <f>SUM(B33:B45)</f>
        <v>200350</v>
      </c>
      <c r="C46" s="23">
        <f>SUM(C33:C45)</f>
        <v>138078.12299999999</v>
      </c>
      <c r="D46" s="23">
        <f>C46/B46*100</f>
        <v>68.918454205141003</v>
      </c>
    </row>
    <row r="47" spans="1:4">
      <c r="A47" s="5"/>
      <c r="B47" s="5"/>
      <c r="C47" s="5"/>
      <c r="D47" s="5"/>
    </row>
    <row r="49" spans="1:1">
      <c r="A49" s="1" t="s">
        <v>36</v>
      </c>
    </row>
  </sheetData>
  <mergeCells count="4">
    <mergeCell ref="B2:D2"/>
    <mergeCell ref="A5:D5"/>
    <mergeCell ref="A6:D6"/>
    <mergeCell ref="B3:D3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9"/>
  <sheetViews>
    <sheetView topLeftCell="A16" workbookViewId="0">
      <selection activeCell="C28" sqref="C28"/>
    </sheetView>
  </sheetViews>
  <sheetFormatPr defaultRowHeight="17.25"/>
  <cols>
    <col min="1" max="1" width="49.85546875" style="1" customWidth="1"/>
    <col min="2" max="2" width="16" style="1" customWidth="1"/>
    <col min="3" max="3" width="17.7109375" style="1" customWidth="1"/>
    <col min="4" max="4" width="15.42578125" style="1" customWidth="1"/>
    <col min="5" max="5" width="9.140625" style="1"/>
    <col min="6" max="6" width="22.7109375" style="1" customWidth="1"/>
    <col min="7" max="9" width="9.140625" style="1"/>
    <col min="10" max="10" width="25" style="1" customWidth="1"/>
    <col min="11" max="16384" width="9.140625" style="1"/>
  </cols>
  <sheetData>
    <row r="2" spans="1:10">
      <c r="B2" s="100" t="s">
        <v>40</v>
      </c>
      <c r="C2" s="100"/>
      <c r="D2" s="100"/>
    </row>
    <row r="3" spans="1:10">
      <c r="A3" s="3"/>
      <c r="B3" s="101" t="s">
        <v>45</v>
      </c>
      <c r="C3" s="101"/>
      <c r="D3" s="101"/>
    </row>
    <row r="4" spans="1:10">
      <c r="A4" s="3"/>
      <c r="B4" s="26"/>
      <c r="C4" s="26"/>
      <c r="D4" s="26"/>
    </row>
    <row r="5" spans="1:10">
      <c r="A5" s="101" t="s">
        <v>44</v>
      </c>
      <c r="B5" s="101"/>
      <c r="C5" s="101"/>
      <c r="D5" s="101"/>
    </row>
    <row r="6" spans="1:10">
      <c r="A6" s="102"/>
      <c r="B6" s="102"/>
      <c r="C6" s="102"/>
      <c r="D6" s="102"/>
    </row>
    <row r="8" spans="1:10">
      <c r="A8" s="1" t="s">
        <v>0</v>
      </c>
      <c r="C8" s="1" t="s">
        <v>1</v>
      </c>
    </row>
    <row r="9" spans="1:10" s="2" customFormat="1" ht="34.5">
      <c r="A9" s="24" t="s">
        <v>2</v>
      </c>
      <c r="B9" s="29" t="s">
        <v>30</v>
      </c>
      <c r="C9" s="30" t="s">
        <v>31</v>
      </c>
      <c r="D9" s="30" t="s">
        <v>3</v>
      </c>
    </row>
    <row r="10" spans="1:10" s="5" customFormat="1" ht="51.75">
      <c r="A10" s="7" t="s">
        <v>29</v>
      </c>
      <c r="B10" s="6">
        <v>5849.5</v>
      </c>
      <c r="C10" s="6">
        <v>7721.3</v>
      </c>
      <c r="D10" s="6">
        <f t="shared" ref="D10:D19" si="0">C10/B10*100</f>
        <v>131.99931618087015</v>
      </c>
    </row>
    <row r="11" spans="1:10" s="5" customFormat="1" ht="34.5">
      <c r="A11" s="7" t="s">
        <v>19</v>
      </c>
      <c r="B11" s="6">
        <v>12496.5</v>
      </c>
      <c r="C11" s="6">
        <f>12570263/1000</f>
        <v>12570.263000000001</v>
      </c>
      <c r="D11" s="6">
        <f t="shared" si="0"/>
        <v>100.59026927539712</v>
      </c>
    </row>
    <row r="12" spans="1:10" s="5" customFormat="1">
      <c r="A12" s="7" t="s">
        <v>4</v>
      </c>
      <c r="B12" s="6">
        <v>24611</v>
      </c>
      <c r="C12" s="6">
        <f>27280391/1000</f>
        <v>27280.391</v>
      </c>
      <c r="D12" s="6">
        <f t="shared" si="0"/>
        <v>110.84633294055504</v>
      </c>
    </row>
    <row r="13" spans="1:10" s="5" customFormat="1">
      <c r="A13" s="7" t="s">
        <v>5</v>
      </c>
      <c r="B13" s="6">
        <v>2699.5</v>
      </c>
      <c r="C13" s="6">
        <f>7955388/1000</f>
        <v>7955.3879999999999</v>
      </c>
      <c r="D13" s="6">
        <f t="shared" si="0"/>
        <v>294.69857380996484</v>
      </c>
    </row>
    <row r="14" spans="1:10" s="5" customFormat="1">
      <c r="A14" s="7" t="s">
        <v>20</v>
      </c>
      <c r="B14" s="6">
        <v>600</v>
      </c>
      <c r="C14" s="6">
        <v>437</v>
      </c>
      <c r="D14" s="6">
        <f t="shared" si="0"/>
        <v>72.833333333333343</v>
      </c>
    </row>
    <row r="15" spans="1:10" ht="34.5">
      <c r="A15" s="4" t="s">
        <v>23</v>
      </c>
      <c r="B15" s="6">
        <v>8354</v>
      </c>
      <c r="C15" s="6">
        <f>6891146/1000</f>
        <v>6891.1459999999997</v>
      </c>
      <c r="D15" s="6">
        <f t="shared" si="0"/>
        <v>82.489178836485507</v>
      </c>
      <c r="F15" s="5"/>
      <c r="J15" s="5"/>
    </row>
    <row r="16" spans="1:10">
      <c r="A16" s="4" t="s">
        <v>24</v>
      </c>
      <c r="B16" s="8">
        <v>5380</v>
      </c>
      <c r="C16" s="6">
        <f>3036857/1000</f>
        <v>3036.857</v>
      </c>
      <c r="D16" s="6">
        <f t="shared" si="0"/>
        <v>56.44715613382899</v>
      </c>
      <c r="F16" s="5"/>
      <c r="J16" s="5"/>
    </row>
    <row r="17" spans="1:10">
      <c r="A17" s="4" t="s">
        <v>21</v>
      </c>
      <c r="B17" s="8">
        <v>1310</v>
      </c>
      <c r="C17" s="6">
        <f>1310000/1000</f>
        <v>1310</v>
      </c>
      <c r="D17" s="6">
        <f t="shared" si="0"/>
        <v>100</v>
      </c>
      <c r="F17" s="5"/>
      <c r="J17" s="5"/>
    </row>
    <row r="18" spans="1:10" ht="51.75">
      <c r="A18" s="4" t="s">
        <v>25</v>
      </c>
      <c r="B18" s="6">
        <v>5088.8999999999996</v>
      </c>
      <c r="C18" s="6">
        <f>11245096/1000</f>
        <v>11245.096</v>
      </c>
      <c r="D18" s="6">
        <f t="shared" si="0"/>
        <v>220.97301970956397</v>
      </c>
      <c r="F18" s="5"/>
      <c r="J18" s="5"/>
    </row>
    <row r="19" spans="1:10">
      <c r="A19" s="24" t="s">
        <v>37</v>
      </c>
      <c r="B19" s="16">
        <f>SUM(B10:B18)</f>
        <v>66389.399999999994</v>
      </c>
      <c r="C19" s="17">
        <f>SUM(C10:C18)</f>
        <v>78447.441000000006</v>
      </c>
      <c r="D19" s="33">
        <f t="shared" si="0"/>
        <v>118.16259975237014</v>
      </c>
    </row>
    <row r="20" spans="1:10" s="10" customFormat="1" ht="34.5" hidden="1">
      <c r="A20" s="9" t="s">
        <v>35</v>
      </c>
      <c r="B20" s="8"/>
      <c r="C20" s="8"/>
      <c r="D20" s="6" t="e">
        <f t="shared" ref="D20:D24" si="1">C20/B20*100</f>
        <v>#DIV/0!</v>
      </c>
      <c r="F20" s="1"/>
    </row>
    <row r="21" spans="1:10" ht="51.75">
      <c r="A21" s="4" t="s">
        <v>6</v>
      </c>
      <c r="B21" s="8">
        <f>C21</f>
        <v>213859.20000000001</v>
      </c>
      <c r="C21" s="6">
        <f>213859200/1000</f>
        <v>213859.20000000001</v>
      </c>
      <c r="D21" s="6">
        <f t="shared" si="1"/>
        <v>100</v>
      </c>
    </row>
    <row r="22" spans="1:10" ht="34.5" hidden="1">
      <c r="A22" s="4" t="s">
        <v>16</v>
      </c>
      <c r="B22" s="8"/>
      <c r="C22" s="6"/>
      <c r="D22" s="6" t="e">
        <f t="shared" si="1"/>
        <v>#DIV/0!</v>
      </c>
    </row>
    <row r="23" spans="1:10" ht="51.75">
      <c r="A23" s="4" t="s">
        <v>26</v>
      </c>
      <c r="B23" s="8">
        <v>247.1</v>
      </c>
      <c r="C23" s="6">
        <f>303300/1000</f>
        <v>303.3</v>
      </c>
      <c r="D23" s="6">
        <f t="shared" si="1"/>
        <v>122.7438284095508</v>
      </c>
    </row>
    <row r="24" spans="1:10" s="5" customFormat="1" ht="51.75">
      <c r="A24" s="7" t="s">
        <v>39</v>
      </c>
      <c r="B24" s="32">
        <f>C24</f>
        <v>109665.99099999999</v>
      </c>
      <c r="C24" s="6">
        <f>109665991/1000</f>
        <v>109665.99099999999</v>
      </c>
      <c r="D24" s="6">
        <f t="shared" si="1"/>
        <v>100</v>
      </c>
      <c r="F24" s="1"/>
    </row>
    <row r="25" spans="1:10" s="10" customFormat="1">
      <c r="A25" s="13" t="s">
        <v>38</v>
      </c>
      <c r="B25" s="12"/>
      <c r="C25" s="12"/>
      <c r="D25" s="12"/>
    </row>
    <row r="26" spans="1:10" s="10" customFormat="1" ht="34.5">
      <c r="A26" s="9" t="s">
        <v>22</v>
      </c>
      <c r="B26" s="8"/>
      <c r="C26" s="8">
        <f>968523/1000</f>
        <v>968.52300000000002</v>
      </c>
      <c r="D26" s="12"/>
    </row>
    <row r="27" spans="1:10" s="10" customFormat="1" ht="34.5">
      <c r="A27" s="9" t="s">
        <v>32</v>
      </c>
      <c r="B27" s="8">
        <v>200000</v>
      </c>
      <c r="C27" s="8">
        <f>66596188/1000</f>
        <v>66596.187999999995</v>
      </c>
      <c r="D27" s="12"/>
    </row>
    <row r="28" spans="1:10" s="10" customFormat="1" ht="55.5" customHeight="1">
      <c r="A28" s="27"/>
      <c r="B28" s="28"/>
      <c r="C28" s="28"/>
      <c r="D28" s="15"/>
    </row>
    <row r="29" spans="1:10" s="10" customFormat="1" ht="10.5" customHeight="1">
      <c r="A29" s="27"/>
      <c r="B29" s="28"/>
      <c r="C29" s="28"/>
      <c r="D29" s="15"/>
    </row>
    <row r="30" spans="1:10" s="10" customFormat="1" ht="19.5" customHeight="1">
      <c r="A30" s="14"/>
      <c r="B30" s="15"/>
      <c r="C30" s="15"/>
      <c r="D30" s="15"/>
    </row>
    <row r="31" spans="1:10" ht="38.25" hidden="1" customHeight="1">
      <c r="A31" s="18"/>
      <c r="B31" s="19"/>
      <c r="C31" s="19"/>
      <c r="D31" s="19"/>
    </row>
    <row r="32" spans="1:10">
      <c r="A32" s="20" t="s">
        <v>7</v>
      </c>
      <c r="B32" s="31"/>
      <c r="C32" s="31"/>
      <c r="D32" s="31"/>
    </row>
    <row r="33" spans="1:6" ht="34.5">
      <c r="A33" s="7" t="s">
        <v>8</v>
      </c>
      <c r="B33" s="11">
        <v>80000</v>
      </c>
      <c r="C33" s="11">
        <f>78353771/1000</f>
        <v>78353.770999999993</v>
      </c>
      <c r="D33" s="11">
        <f>C33/B33*100</f>
        <v>97.942213749999993</v>
      </c>
    </row>
    <row r="34" spans="1:6" ht="34.5">
      <c r="A34" s="7" t="s">
        <v>33</v>
      </c>
      <c r="B34" s="11">
        <v>750</v>
      </c>
      <c r="C34" s="11">
        <f>635900/1000</f>
        <v>635.9</v>
      </c>
      <c r="D34" s="11">
        <f t="shared" ref="D34:D45" si="2">C34/B34*100</f>
        <v>84.786666666666662</v>
      </c>
    </row>
    <row r="35" spans="1:6">
      <c r="A35" s="7" t="s">
        <v>9</v>
      </c>
      <c r="B35" s="11">
        <v>15000</v>
      </c>
      <c r="C35" s="11">
        <f>12992432/1000</f>
        <v>12992.432000000001</v>
      </c>
      <c r="D35" s="11">
        <f t="shared" si="2"/>
        <v>86.616213333333334</v>
      </c>
    </row>
    <row r="36" spans="1:6">
      <c r="A36" s="7" t="s">
        <v>10</v>
      </c>
      <c r="B36" s="11">
        <v>500</v>
      </c>
      <c r="C36" s="11">
        <f>336653/1000</f>
        <v>336.65300000000002</v>
      </c>
      <c r="D36" s="11">
        <f t="shared" si="2"/>
        <v>67.330600000000004</v>
      </c>
    </row>
    <row r="37" spans="1:6">
      <c r="A37" s="7" t="s">
        <v>18</v>
      </c>
      <c r="B37" s="11">
        <v>250</v>
      </c>
      <c r="C37" s="11">
        <f>120000/1000</f>
        <v>120</v>
      </c>
      <c r="D37" s="11">
        <f t="shared" si="2"/>
        <v>48</v>
      </c>
    </row>
    <row r="38" spans="1:6" s="5" customFormat="1" ht="34.5">
      <c r="A38" s="7" t="s">
        <v>28</v>
      </c>
      <c r="B38" s="11">
        <v>16000</v>
      </c>
      <c r="C38" s="11">
        <f>15768214/1000</f>
        <v>15768.214</v>
      </c>
      <c r="D38" s="11">
        <f t="shared" si="2"/>
        <v>98.551337500000002</v>
      </c>
    </row>
    <row r="39" spans="1:6" s="5" customFormat="1">
      <c r="A39" s="9" t="s">
        <v>11</v>
      </c>
      <c r="B39" s="11">
        <v>75000</v>
      </c>
      <c r="C39" s="11">
        <f>72673821/1000</f>
        <v>72673.820999999996</v>
      </c>
      <c r="D39" s="11">
        <f t="shared" si="2"/>
        <v>96.898427999999996</v>
      </c>
    </row>
    <row r="40" spans="1:6" s="5" customFormat="1">
      <c r="A40" s="7" t="s">
        <v>41</v>
      </c>
      <c r="B40" s="11">
        <v>22500</v>
      </c>
      <c r="C40" s="11">
        <f>22133574/1000</f>
        <v>22133.574000000001</v>
      </c>
      <c r="D40" s="11">
        <f t="shared" si="2"/>
        <v>98.371439999999993</v>
      </c>
    </row>
    <row r="41" spans="1:6" s="5" customFormat="1" ht="34.5">
      <c r="A41" s="7" t="s">
        <v>12</v>
      </c>
      <c r="B41" s="11">
        <v>4000</v>
      </c>
      <c r="C41" s="11">
        <f>2105000/1000</f>
        <v>2105</v>
      </c>
      <c r="D41" s="11">
        <f t="shared" si="2"/>
        <v>52.625</v>
      </c>
    </row>
    <row r="42" spans="1:6" s="5" customFormat="1">
      <c r="A42" s="7" t="s">
        <v>13</v>
      </c>
      <c r="B42" s="21">
        <v>1500</v>
      </c>
      <c r="C42" s="11">
        <f>1088736/1000</f>
        <v>1088.7360000000001</v>
      </c>
      <c r="D42" s="11">
        <f t="shared" si="2"/>
        <v>72.582400000000007</v>
      </c>
    </row>
    <row r="43" spans="1:6" s="5" customFormat="1" ht="34.5">
      <c r="A43" s="7" t="s">
        <v>14</v>
      </c>
      <c r="B43" s="11">
        <f>C43</f>
        <v>171162.25700000001</v>
      </c>
      <c r="C43" s="11">
        <f>171162257/1000</f>
        <v>171162.25700000001</v>
      </c>
      <c r="D43" s="11">
        <f t="shared" si="2"/>
        <v>100</v>
      </c>
    </row>
    <row r="44" spans="1:6">
      <c r="A44" s="7" t="s">
        <v>27</v>
      </c>
      <c r="B44" s="22">
        <v>20000</v>
      </c>
      <c r="C44" s="11">
        <f>17367900/1000</f>
        <v>17367.900000000001</v>
      </c>
      <c r="D44" s="11">
        <f t="shared" si="2"/>
        <v>86.839500000000001</v>
      </c>
      <c r="F44" s="5"/>
    </row>
    <row r="45" spans="1:6" s="5" customFormat="1" ht="34.5">
      <c r="A45" s="7" t="s">
        <v>15</v>
      </c>
      <c r="B45" s="11">
        <v>6500</v>
      </c>
      <c r="C45" s="11">
        <f>5841100/1000</f>
        <v>5841.1</v>
      </c>
      <c r="D45" s="11">
        <f t="shared" si="2"/>
        <v>89.863076923076918</v>
      </c>
    </row>
    <row r="46" spans="1:6">
      <c r="A46" s="20" t="s">
        <v>17</v>
      </c>
      <c r="B46" s="23">
        <f>SUM(B33:B45)</f>
        <v>413162.25699999998</v>
      </c>
      <c r="C46" s="23">
        <f>SUM(C33:C45)</f>
        <v>400579.35800000001</v>
      </c>
      <c r="D46" s="23">
        <f>C46/B46*100</f>
        <v>96.954489722424</v>
      </c>
    </row>
    <row r="47" spans="1:6">
      <c r="A47" s="5"/>
      <c r="B47" s="5"/>
      <c r="C47" s="5"/>
      <c r="D47" s="5"/>
    </row>
    <row r="49" spans="1:1">
      <c r="A49" s="1" t="s">
        <v>36</v>
      </c>
    </row>
  </sheetData>
  <mergeCells count="4">
    <mergeCell ref="B2:D2"/>
    <mergeCell ref="B3:D3"/>
    <mergeCell ref="A5:D5"/>
    <mergeCell ref="A6:D6"/>
  </mergeCells>
  <pageMargins left="0.7" right="0.7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3E6BC-881D-4A6D-9039-8E1FC21E46E1}">
  <dimension ref="A2:J52"/>
  <sheetViews>
    <sheetView workbookViewId="0">
      <selection activeCell="A4" sqref="A1:XFD1048576"/>
    </sheetView>
  </sheetViews>
  <sheetFormatPr defaultRowHeight="15"/>
  <cols>
    <col min="1" max="1" width="49.85546875" style="34" customWidth="1"/>
    <col min="2" max="2" width="16" style="34" customWidth="1"/>
    <col min="3" max="3" width="17.7109375" style="34" customWidth="1"/>
    <col min="4" max="4" width="15.42578125" style="34" customWidth="1"/>
    <col min="5" max="5" width="9.140625" style="34"/>
    <col min="6" max="6" width="22.7109375" style="34" customWidth="1"/>
    <col min="7" max="9" width="9.140625" style="34"/>
    <col min="10" max="10" width="25" style="34" customWidth="1"/>
    <col min="11" max="16384" width="9.140625" style="34"/>
  </cols>
  <sheetData>
    <row r="2" spans="1:10">
      <c r="B2" s="103" t="s">
        <v>40</v>
      </c>
      <c r="C2" s="103"/>
      <c r="D2" s="103"/>
    </row>
    <row r="3" spans="1:10">
      <c r="A3" s="35"/>
      <c r="B3" s="104" t="s">
        <v>49</v>
      </c>
      <c r="C3" s="104"/>
      <c r="D3" s="104"/>
    </row>
    <row r="4" spans="1:10">
      <c r="A4" s="35"/>
      <c r="B4" s="36"/>
      <c r="C4" s="36"/>
      <c r="D4" s="36"/>
    </row>
    <row r="5" spans="1:10">
      <c r="A5" s="105" t="s">
        <v>48</v>
      </c>
      <c r="B5" s="105"/>
      <c r="C5" s="105"/>
      <c r="D5" s="105"/>
    </row>
    <row r="6" spans="1:10">
      <c r="A6" s="106"/>
      <c r="B6" s="106"/>
      <c r="C6" s="106"/>
      <c r="D6" s="106"/>
    </row>
    <row r="8" spans="1:10">
      <c r="A8" s="34" t="s">
        <v>0</v>
      </c>
      <c r="C8" s="34" t="s">
        <v>1</v>
      </c>
    </row>
    <row r="9" spans="1:10" s="40" customFormat="1" ht="30">
      <c r="A9" s="37" t="s">
        <v>2</v>
      </c>
      <c r="B9" s="38" t="s">
        <v>30</v>
      </c>
      <c r="C9" s="39" t="s">
        <v>31</v>
      </c>
      <c r="D9" s="39" t="s">
        <v>3</v>
      </c>
    </row>
    <row r="10" spans="1:10" s="43" customFormat="1" ht="45">
      <c r="A10" s="65" t="s">
        <v>29</v>
      </c>
      <c r="B10" s="51">
        <v>13119</v>
      </c>
      <c r="C10" s="51">
        <f>10512391.5/1000</f>
        <v>10512.3915</v>
      </c>
      <c r="D10" s="51">
        <f>C10/B10*100</f>
        <v>80.13104276240567</v>
      </c>
    </row>
    <row r="11" spans="1:10" s="43" customFormat="1" ht="30">
      <c r="A11" s="49" t="s">
        <v>19</v>
      </c>
      <c r="B11" s="51">
        <v>18744.8</v>
      </c>
      <c r="C11" s="45">
        <v>17624.552</v>
      </c>
      <c r="D11" s="45">
        <f t="shared" ref="D11:D18" si="0">C11/B11*100</f>
        <v>94.023686569075153</v>
      </c>
    </row>
    <row r="12" spans="1:10" s="43" customFormat="1">
      <c r="A12" s="49" t="s">
        <v>4</v>
      </c>
      <c r="B12" s="51">
        <v>39601.800000000003</v>
      </c>
      <c r="C12" s="45">
        <v>40015.108999999997</v>
      </c>
      <c r="D12" s="45">
        <f t="shared" si="0"/>
        <v>101.04366215677064</v>
      </c>
    </row>
    <row r="13" spans="1:10" s="43" customFormat="1">
      <c r="A13" s="49" t="s">
        <v>5</v>
      </c>
      <c r="B13" s="51">
        <v>4049.3</v>
      </c>
      <c r="C13" s="45">
        <v>12650.213</v>
      </c>
      <c r="D13" s="45">
        <f t="shared" si="0"/>
        <v>312.40493418615563</v>
      </c>
    </row>
    <row r="14" spans="1:10" s="43" customFormat="1">
      <c r="A14" s="41" t="s">
        <v>20</v>
      </c>
      <c r="B14" s="66">
        <v>900</v>
      </c>
      <c r="C14" s="42">
        <v>804</v>
      </c>
      <c r="D14" s="42">
        <f t="shared" si="0"/>
        <v>89.333333333333329</v>
      </c>
    </row>
    <row r="15" spans="1:10" ht="30">
      <c r="A15" s="44" t="s">
        <v>23</v>
      </c>
      <c r="B15" s="66">
        <v>15589</v>
      </c>
      <c r="C15" s="42">
        <v>13136.700999999999</v>
      </c>
      <c r="D15" s="42">
        <f t="shared" si="0"/>
        <v>84.269042273397901</v>
      </c>
      <c r="F15" s="43"/>
      <c r="J15" s="43"/>
    </row>
    <row r="16" spans="1:10">
      <c r="A16" s="44" t="s">
        <v>24</v>
      </c>
      <c r="B16" s="51">
        <v>7225</v>
      </c>
      <c r="C16" s="42">
        <v>6753.4260000000004</v>
      </c>
      <c r="D16" s="42">
        <f t="shared" si="0"/>
        <v>93.473024221453301</v>
      </c>
      <c r="F16" s="43"/>
      <c r="J16" s="43"/>
    </row>
    <row r="17" spans="1:10">
      <c r="A17" s="44" t="s">
        <v>21</v>
      </c>
      <c r="B17" s="51">
        <v>1530</v>
      </c>
      <c r="C17" s="42">
        <v>1530</v>
      </c>
      <c r="D17" s="42">
        <f t="shared" si="0"/>
        <v>100</v>
      </c>
      <c r="F17" s="43"/>
      <c r="J17" s="43"/>
    </row>
    <row r="18" spans="1:10" ht="45">
      <c r="A18" s="44" t="s">
        <v>46</v>
      </c>
      <c r="B18" s="66">
        <v>7633.4</v>
      </c>
      <c r="C18" s="42">
        <v>14581.245999999999</v>
      </c>
      <c r="D18" s="42">
        <f t="shared" si="0"/>
        <v>191.01902166793303</v>
      </c>
      <c r="F18" s="43"/>
      <c r="J18" s="43"/>
    </row>
    <row r="19" spans="1:10">
      <c r="A19" s="37" t="s">
        <v>37</v>
      </c>
      <c r="B19" s="46">
        <f>SUM(B10:B18)</f>
        <v>108392.3</v>
      </c>
      <c r="C19" s="47">
        <f>SUM(C10:C18)</f>
        <v>117607.6385</v>
      </c>
      <c r="D19" s="48">
        <f>C19/B19*100</f>
        <v>108.50183869149377</v>
      </c>
    </row>
    <row r="20" spans="1:10" s="50" customFormat="1" ht="30" hidden="1">
      <c r="A20" s="49" t="s">
        <v>35</v>
      </c>
      <c r="B20" s="45"/>
      <c r="C20" s="45"/>
      <c r="D20" s="42"/>
      <c r="F20" s="34"/>
    </row>
    <row r="21" spans="1:10" ht="45">
      <c r="A21" s="65" t="s">
        <v>6</v>
      </c>
      <c r="B21" s="45">
        <v>320788.90000000002</v>
      </c>
      <c r="C21" s="45">
        <v>320788.90000000002</v>
      </c>
      <c r="D21" s="45">
        <f>C21/B21*100</f>
        <v>100</v>
      </c>
    </row>
    <row r="22" spans="1:10" ht="30" hidden="1">
      <c r="A22" s="65" t="s">
        <v>16</v>
      </c>
      <c r="B22" s="45"/>
      <c r="C22" s="45"/>
      <c r="D22" s="45" t="e">
        <f t="shared" ref="D22:D26" si="1">C22/B22*100</f>
        <v>#DIV/0!</v>
      </c>
    </row>
    <row r="23" spans="1:10" ht="45">
      <c r="A23" s="65" t="s">
        <v>26</v>
      </c>
      <c r="B23" s="45">
        <v>539.29999999999995</v>
      </c>
      <c r="C23" s="45">
        <v>539.29999999999995</v>
      </c>
      <c r="D23" s="45">
        <f t="shared" si="1"/>
        <v>100</v>
      </c>
    </row>
    <row r="24" spans="1:10" s="43" customFormat="1" ht="45">
      <c r="A24" s="49" t="s">
        <v>39</v>
      </c>
      <c r="B24" s="51">
        <v>109666</v>
      </c>
      <c r="C24" s="45">
        <f>109665991/1000</f>
        <v>109665.99099999999</v>
      </c>
      <c r="D24" s="45">
        <f t="shared" si="1"/>
        <v>99.999991793263177</v>
      </c>
      <c r="F24" s="34"/>
    </row>
    <row r="25" spans="1:10" s="43" customFormat="1" ht="30">
      <c r="A25" s="49" t="s">
        <v>35</v>
      </c>
      <c r="B25" s="51"/>
      <c r="C25" s="45">
        <v>2005</v>
      </c>
      <c r="D25" s="45"/>
      <c r="F25" s="34"/>
    </row>
    <row r="26" spans="1:10" s="50" customFormat="1">
      <c r="A26" s="52" t="s">
        <v>38</v>
      </c>
      <c r="B26" s="53">
        <f>SUM(B19:B25)</f>
        <v>539386.5</v>
      </c>
      <c r="C26" s="53">
        <f>SUM(C19:C25)</f>
        <v>550606.82949999999</v>
      </c>
      <c r="D26" s="66">
        <f t="shared" si="1"/>
        <v>102.08020213705757</v>
      </c>
    </row>
    <row r="27" spans="1:10" s="50" customFormat="1" ht="30">
      <c r="A27" s="49" t="s">
        <v>22</v>
      </c>
      <c r="B27" s="45"/>
      <c r="C27" s="45">
        <v>968.52300000000002</v>
      </c>
      <c r="D27" s="53"/>
    </row>
    <row r="28" spans="1:10" s="50" customFormat="1" ht="30">
      <c r="A28" s="49" t="s">
        <v>32</v>
      </c>
      <c r="B28" s="45">
        <v>77361</v>
      </c>
      <c r="C28" s="45">
        <v>105413.26700000001</v>
      </c>
      <c r="D28" s="53"/>
    </row>
    <row r="29" spans="1:10" s="50" customFormat="1" ht="13.5" hidden="1" customHeight="1">
      <c r="A29" s="54"/>
      <c r="B29" s="55"/>
      <c r="C29" s="55"/>
      <c r="D29" s="56"/>
    </row>
    <row r="30" spans="1:10" s="50" customFormat="1" ht="6.75" hidden="1" customHeight="1">
      <c r="A30" s="54"/>
      <c r="B30" s="55"/>
      <c r="C30" s="55"/>
      <c r="D30" s="56"/>
    </row>
    <row r="31" spans="1:10" s="50" customFormat="1" ht="6.75" hidden="1" customHeight="1">
      <c r="A31" s="57"/>
      <c r="B31" s="56"/>
      <c r="C31" s="56"/>
      <c r="D31" s="56"/>
    </row>
    <row r="32" spans="1:10" ht="38.25" hidden="1" customHeight="1">
      <c r="A32" s="58"/>
      <c r="B32" s="59"/>
      <c r="C32" s="59"/>
      <c r="D32" s="59"/>
    </row>
    <row r="33" spans="1:6" ht="38.25" customHeight="1">
      <c r="A33" s="58"/>
      <c r="B33" s="59"/>
      <c r="C33" s="59"/>
      <c r="D33" s="59"/>
    </row>
    <row r="34" spans="1:6" ht="34.5">
      <c r="A34" s="60" t="s">
        <v>7</v>
      </c>
      <c r="B34" s="31" t="s">
        <v>34</v>
      </c>
      <c r="C34" s="31" t="s">
        <v>31</v>
      </c>
      <c r="D34" s="31" t="s">
        <v>3</v>
      </c>
    </row>
    <row r="35" spans="1:6" ht="30">
      <c r="A35" s="41" t="s">
        <v>8</v>
      </c>
      <c r="B35" s="61">
        <v>110000</v>
      </c>
      <c r="C35" s="61">
        <v>106840.45</v>
      </c>
      <c r="D35" s="61">
        <f>C35/B35*100</f>
        <v>97.127681818181813</v>
      </c>
    </row>
    <row r="36" spans="1:6">
      <c r="A36" s="41" t="s">
        <v>47</v>
      </c>
      <c r="B36" s="61">
        <v>2050</v>
      </c>
      <c r="C36" s="61">
        <v>1528.2</v>
      </c>
      <c r="D36" s="61">
        <f t="shared" ref="D36:D49" si="2">C36/B36*100</f>
        <v>74.546341463414635</v>
      </c>
    </row>
    <row r="37" spans="1:6" ht="30">
      <c r="A37" s="41" t="s">
        <v>33</v>
      </c>
      <c r="B37" s="61">
        <v>1100</v>
      </c>
      <c r="C37" s="61">
        <v>974.1</v>
      </c>
      <c r="D37" s="61">
        <f t="shared" si="2"/>
        <v>88.554545454545448</v>
      </c>
    </row>
    <row r="38" spans="1:6">
      <c r="A38" s="41" t="s">
        <v>9</v>
      </c>
      <c r="B38" s="61">
        <v>18000</v>
      </c>
      <c r="C38" s="61">
        <v>17244.776000000002</v>
      </c>
      <c r="D38" s="61">
        <f t="shared" si="2"/>
        <v>95.804311111111119</v>
      </c>
    </row>
    <row r="39" spans="1:6">
      <c r="A39" s="41" t="s">
        <v>10</v>
      </c>
      <c r="B39" s="61">
        <v>600</v>
      </c>
      <c r="C39" s="61">
        <v>501.48899999999998</v>
      </c>
      <c r="D39" s="61">
        <f t="shared" si="2"/>
        <v>83.581499999999991</v>
      </c>
    </row>
    <row r="40" spans="1:6">
      <c r="A40" s="41" t="s">
        <v>18</v>
      </c>
      <c r="B40" s="61">
        <v>350</v>
      </c>
      <c r="C40" s="61">
        <v>200</v>
      </c>
      <c r="D40" s="61">
        <f t="shared" si="2"/>
        <v>57.142857142857139</v>
      </c>
    </row>
    <row r="41" spans="1:6" s="43" customFormat="1" ht="30">
      <c r="A41" s="41" t="s">
        <v>28</v>
      </c>
      <c r="B41" s="61">
        <v>30000</v>
      </c>
      <c r="C41" s="61">
        <v>29962.799999999999</v>
      </c>
      <c r="D41" s="61">
        <f t="shared" si="2"/>
        <v>99.876000000000005</v>
      </c>
    </row>
    <row r="42" spans="1:6" s="43" customFormat="1">
      <c r="A42" s="49" t="s">
        <v>11</v>
      </c>
      <c r="B42" s="61">
        <v>150000</v>
      </c>
      <c r="C42" s="61">
        <v>121410.7</v>
      </c>
      <c r="D42" s="61">
        <f t="shared" si="2"/>
        <v>80.940466666666666</v>
      </c>
    </row>
    <row r="43" spans="1:6" s="43" customFormat="1">
      <c r="A43" s="41" t="s">
        <v>41</v>
      </c>
      <c r="B43" s="61">
        <v>55000</v>
      </c>
      <c r="C43" s="61">
        <v>50222.235999999997</v>
      </c>
      <c r="D43" s="61">
        <f t="shared" si="2"/>
        <v>91.313156363636367</v>
      </c>
    </row>
    <row r="44" spans="1:6" s="43" customFormat="1" ht="30">
      <c r="A44" s="41" t="s">
        <v>12</v>
      </c>
      <c r="B44" s="61">
        <v>6000</v>
      </c>
      <c r="C44" s="61">
        <v>4190</v>
      </c>
      <c r="D44" s="61">
        <f t="shared" si="2"/>
        <v>69.833333333333343</v>
      </c>
    </row>
    <row r="45" spans="1:6" s="43" customFormat="1">
      <c r="A45" s="41" t="s">
        <v>13</v>
      </c>
      <c r="B45" s="62">
        <v>2000</v>
      </c>
      <c r="C45" s="61">
        <v>1747.0989999999999</v>
      </c>
      <c r="D45" s="61">
        <f t="shared" si="2"/>
        <v>87.354950000000002</v>
      </c>
    </row>
    <row r="46" spans="1:6" s="43" customFormat="1" ht="30">
      <c r="A46" s="41" t="s">
        <v>14</v>
      </c>
      <c r="B46" s="61">
        <v>200000</v>
      </c>
      <c r="C46" s="61">
        <v>196734.02799999999</v>
      </c>
      <c r="D46" s="61">
        <f t="shared" si="2"/>
        <v>98.367013999999998</v>
      </c>
    </row>
    <row r="47" spans="1:6">
      <c r="A47" s="41" t="s">
        <v>27</v>
      </c>
      <c r="B47" s="63">
        <v>20000</v>
      </c>
      <c r="C47" s="61">
        <v>18423.900000000001</v>
      </c>
      <c r="D47" s="61">
        <f t="shared" si="2"/>
        <v>92.119500000000016</v>
      </c>
      <c r="F47" s="43"/>
    </row>
    <row r="48" spans="1:6" s="43" customFormat="1" ht="30">
      <c r="A48" s="41" t="s">
        <v>15</v>
      </c>
      <c r="B48" s="61">
        <v>7000</v>
      </c>
      <c r="C48" s="61">
        <v>6188.1</v>
      </c>
      <c r="D48" s="61">
        <f t="shared" si="2"/>
        <v>88.401428571428582</v>
      </c>
    </row>
    <row r="49" spans="1:4">
      <c r="A49" s="60" t="s">
        <v>17</v>
      </c>
      <c r="B49" s="64">
        <f>SUM(B35:B48)</f>
        <v>602100</v>
      </c>
      <c r="C49" s="64">
        <f>SUM(C35:C48)</f>
        <v>556167.87800000003</v>
      </c>
      <c r="D49" s="61">
        <f t="shared" si="2"/>
        <v>92.371346620162768</v>
      </c>
    </row>
    <row r="50" spans="1:4">
      <c r="A50" s="43"/>
      <c r="B50" s="43"/>
      <c r="C50" s="43"/>
      <c r="D50" s="43"/>
    </row>
    <row r="52" spans="1:4">
      <c r="A52" s="34" t="s">
        <v>36</v>
      </c>
    </row>
  </sheetData>
  <mergeCells count="4">
    <mergeCell ref="B2:D2"/>
    <mergeCell ref="B3:D3"/>
    <mergeCell ref="A5:D5"/>
    <mergeCell ref="A6:D6"/>
  </mergeCells>
  <pageMargins left="0.11811023622047245" right="0.11811023622047245" top="0.15748031496062992" bottom="0.15748031496062992" header="0.31496062992125984" footer="0.31496062992125984"/>
  <pageSetup paperSize="9" scale="8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A0AF9-BFC6-45C7-ACFE-AAB55FEC82B2}">
  <dimension ref="A2:J52"/>
  <sheetViews>
    <sheetView workbookViewId="0">
      <selection activeCell="B2" sqref="B2:D3"/>
    </sheetView>
  </sheetViews>
  <sheetFormatPr defaultRowHeight="15"/>
  <cols>
    <col min="1" max="1" width="49.85546875" style="34" customWidth="1"/>
    <col min="2" max="2" width="16" style="34" customWidth="1"/>
    <col min="3" max="3" width="17.7109375" style="34" customWidth="1"/>
    <col min="4" max="4" width="15.42578125" style="34" customWidth="1"/>
    <col min="5" max="5" width="9.140625" style="34"/>
    <col min="6" max="6" width="22.7109375" style="34" customWidth="1"/>
    <col min="7" max="9" width="9.140625" style="34"/>
    <col min="10" max="10" width="25" style="34" customWidth="1"/>
    <col min="11" max="16384" width="9.140625" style="34"/>
  </cols>
  <sheetData>
    <row r="2" spans="1:10">
      <c r="B2" s="103" t="s">
        <v>40</v>
      </c>
      <c r="C2" s="103"/>
      <c r="D2" s="103"/>
    </row>
    <row r="3" spans="1:10">
      <c r="A3" s="35"/>
      <c r="B3" s="104" t="s">
        <v>49</v>
      </c>
      <c r="C3" s="104"/>
      <c r="D3" s="104"/>
    </row>
    <row r="4" spans="1:10">
      <c r="A4" s="35"/>
      <c r="B4" s="36"/>
      <c r="C4" s="36"/>
      <c r="D4" s="36"/>
    </row>
    <row r="5" spans="1:10">
      <c r="A5" s="105" t="s">
        <v>50</v>
      </c>
      <c r="B5" s="105"/>
      <c r="C5" s="105"/>
      <c r="D5" s="105"/>
    </row>
    <row r="6" spans="1:10">
      <c r="A6" s="106"/>
      <c r="B6" s="106"/>
      <c r="C6" s="106"/>
      <c r="D6" s="106"/>
    </row>
    <row r="8" spans="1:10">
      <c r="A8" s="34" t="s">
        <v>0</v>
      </c>
      <c r="C8" s="34" t="s">
        <v>1</v>
      </c>
    </row>
    <row r="9" spans="1:10" s="40" customFormat="1" ht="30">
      <c r="A9" s="37" t="s">
        <v>2</v>
      </c>
      <c r="B9" s="38" t="s">
        <v>30</v>
      </c>
      <c r="C9" s="39" t="s">
        <v>31</v>
      </c>
      <c r="D9" s="39" t="s">
        <v>3</v>
      </c>
    </row>
    <row r="10" spans="1:10" s="43" customFormat="1" ht="45">
      <c r="A10" s="65" t="s">
        <v>29</v>
      </c>
      <c r="B10" s="51">
        <v>13119</v>
      </c>
      <c r="C10" s="51">
        <f>10512391.5/1000</f>
        <v>10512.3915</v>
      </c>
      <c r="D10" s="51">
        <f>C10/B10*100</f>
        <v>80.13104276240567</v>
      </c>
    </row>
    <row r="11" spans="1:10" s="43" customFormat="1" ht="30">
      <c r="A11" s="49" t="s">
        <v>19</v>
      </c>
      <c r="B11" s="51">
        <v>18744.8</v>
      </c>
      <c r="C11" s="45">
        <v>17624.552</v>
      </c>
      <c r="D11" s="45">
        <f t="shared" ref="D11:D18" si="0">C11/B11*100</f>
        <v>94.023686569075153</v>
      </c>
    </row>
    <row r="12" spans="1:10" s="43" customFormat="1">
      <c r="A12" s="49" t="s">
        <v>4</v>
      </c>
      <c r="B12" s="51">
        <v>39601.800000000003</v>
      </c>
      <c r="C12" s="45">
        <v>40015.108999999997</v>
      </c>
      <c r="D12" s="45">
        <f t="shared" si="0"/>
        <v>101.04366215677064</v>
      </c>
    </row>
    <row r="13" spans="1:10" s="43" customFormat="1">
      <c r="A13" s="49" t="s">
        <v>5</v>
      </c>
      <c r="B13" s="51">
        <v>4049.3</v>
      </c>
      <c r="C13" s="45">
        <v>12650.213</v>
      </c>
      <c r="D13" s="45">
        <f t="shared" si="0"/>
        <v>312.40493418615563</v>
      </c>
    </row>
    <row r="14" spans="1:10" s="43" customFormat="1">
      <c r="A14" s="41" t="s">
        <v>20</v>
      </c>
      <c r="B14" s="66">
        <v>900</v>
      </c>
      <c r="C14" s="42">
        <v>804</v>
      </c>
      <c r="D14" s="42">
        <f t="shared" si="0"/>
        <v>89.333333333333329</v>
      </c>
    </row>
    <row r="15" spans="1:10" ht="30">
      <c r="A15" s="44" t="s">
        <v>23</v>
      </c>
      <c r="B15" s="66">
        <v>15589</v>
      </c>
      <c r="C15" s="42">
        <v>13136.700999999999</v>
      </c>
      <c r="D15" s="42">
        <f t="shared" si="0"/>
        <v>84.269042273397901</v>
      </c>
      <c r="F15" s="43"/>
      <c r="J15" s="43"/>
    </row>
    <row r="16" spans="1:10">
      <c r="A16" s="44" t="s">
        <v>24</v>
      </c>
      <c r="B16" s="51">
        <v>7225</v>
      </c>
      <c r="C16" s="42">
        <v>6753.4260000000004</v>
      </c>
      <c r="D16" s="42">
        <f t="shared" si="0"/>
        <v>93.473024221453301</v>
      </c>
      <c r="F16" s="43"/>
      <c r="J16" s="43"/>
    </row>
    <row r="17" spans="1:10">
      <c r="A17" s="44" t="s">
        <v>21</v>
      </c>
      <c r="B17" s="51">
        <v>1530</v>
      </c>
      <c r="C17" s="42">
        <v>1530</v>
      </c>
      <c r="D17" s="42">
        <f t="shared" si="0"/>
        <v>100</v>
      </c>
      <c r="F17" s="43"/>
      <c r="J17" s="43"/>
    </row>
    <row r="18" spans="1:10" ht="45">
      <c r="A18" s="44" t="s">
        <v>46</v>
      </c>
      <c r="B18" s="66">
        <v>7633.4</v>
      </c>
      <c r="C18" s="42">
        <v>14581.245999999999</v>
      </c>
      <c r="D18" s="42">
        <f t="shared" si="0"/>
        <v>191.01902166793303</v>
      </c>
      <c r="F18" s="43"/>
      <c r="J18" s="43"/>
    </row>
    <row r="19" spans="1:10">
      <c r="A19" s="37" t="s">
        <v>37</v>
      </c>
      <c r="B19" s="46">
        <f>SUM(B10:B18)</f>
        <v>108392.3</v>
      </c>
      <c r="C19" s="47">
        <f>SUM(C10:C18)</f>
        <v>117607.6385</v>
      </c>
      <c r="D19" s="48">
        <f>C19/B19*100</f>
        <v>108.50183869149377</v>
      </c>
    </row>
    <row r="20" spans="1:10" s="50" customFormat="1" ht="30" hidden="1">
      <c r="A20" s="49" t="s">
        <v>35</v>
      </c>
      <c r="B20" s="45"/>
      <c r="C20" s="45"/>
      <c r="D20" s="42"/>
      <c r="F20" s="34"/>
    </row>
    <row r="21" spans="1:10" ht="45">
      <c r="A21" s="65" t="s">
        <v>6</v>
      </c>
      <c r="B21" s="45">
        <v>320788.90000000002</v>
      </c>
      <c r="C21" s="45">
        <v>320788.90000000002</v>
      </c>
      <c r="D21" s="45">
        <f>C21/B21*100</f>
        <v>100</v>
      </c>
    </row>
    <row r="22" spans="1:10" ht="30" hidden="1">
      <c r="A22" s="65" t="s">
        <v>16</v>
      </c>
      <c r="B22" s="45"/>
      <c r="C22" s="45"/>
      <c r="D22" s="45" t="e">
        <f t="shared" ref="D22:D26" si="1">C22/B22*100</f>
        <v>#DIV/0!</v>
      </c>
    </row>
    <row r="23" spans="1:10" ht="45">
      <c r="A23" s="65" t="s">
        <v>26</v>
      </c>
      <c r="B23" s="45">
        <v>539.29999999999995</v>
      </c>
      <c r="C23" s="45">
        <v>539.29999999999995</v>
      </c>
      <c r="D23" s="45">
        <f t="shared" si="1"/>
        <v>100</v>
      </c>
    </row>
    <row r="24" spans="1:10" s="43" customFormat="1" ht="45">
      <c r="A24" s="49" t="s">
        <v>39</v>
      </c>
      <c r="B24" s="51">
        <v>109666</v>
      </c>
      <c r="C24" s="45">
        <f>109665991/1000</f>
        <v>109665.99099999999</v>
      </c>
      <c r="D24" s="45">
        <f t="shared" si="1"/>
        <v>99.999991793263177</v>
      </c>
      <c r="F24" s="34"/>
    </row>
    <row r="25" spans="1:10" s="43" customFormat="1" ht="30">
      <c r="A25" s="49" t="s">
        <v>35</v>
      </c>
      <c r="B25" s="51"/>
      <c r="C25" s="45">
        <v>2005</v>
      </c>
      <c r="D25" s="45"/>
      <c r="F25" s="34"/>
    </row>
    <row r="26" spans="1:10" s="50" customFormat="1">
      <c r="A26" s="52" t="s">
        <v>38</v>
      </c>
      <c r="B26" s="53">
        <f>SUM(B19:B25)</f>
        <v>539386.5</v>
      </c>
      <c r="C26" s="53">
        <f>SUM(C19:C25)</f>
        <v>550606.82949999999</v>
      </c>
      <c r="D26" s="66">
        <f t="shared" si="1"/>
        <v>102.08020213705757</v>
      </c>
    </row>
    <row r="27" spans="1:10" s="50" customFormat="1" ht="30">
      <c r="A27" s="49" t="s">
        <v>22</v>
      </c>
      <c r="B27" s="45"/>
      <c r="C27" s="45">
        <v>968.52300000000002</v>
      </c>
      <c r="D27" s="53"/>
    </row>
    <row r="28" spans="1:10" s="50" customFormat="1" ht="30">
      <c r="A28" s="49" t="s">
        <v>32</v>
      </c>
      <c r="B28" s="45">
        <v>77361</v>
      </c>
      <c r="C28" s="45">
        <v>105413.26700000001</v>
      </c>
      <c r="D28" s="53"/>
    </row>
    <row r="29" spans="1:10" s="50" customFormat="1" ht="13.5" hidden="1" customHeight="1">
      <c r="A29" s="54"/>
      <c r="B29" s="55"/>
      <c r="C29" s="55"/>
      <c r="D29" s="56"/>
    </row>
    <row r="30" spans="1:10" s="50" customFormat="1" ht="6.75" hidden="1" customHeight="1">
      <c r="A30" s="54"/>
      <c r="B30" s="55"/>
      <c r="C30" s="55"/>
      <c r="D30" s="56"/>
    </row>
    <row r="31" spans="1:10" s="50" customFormat="1" ht="6.75" hidden="1" customHeight="1">
      <c r="A31" s="57"/>
      <c r="B31" s="56"/>
      <c r="C31" s="56"/>
      <c r="D31" s="56"/>
    </row>
    <row r="32" spans="1:10" ht="38.25" hidden="1" customHeight="1">
      <c r="A32" s="58"/>
      <c r="B32" s="59"/>
      <c r="C32" s="59"/>
      <c r="D32" s="59"/>
    </row>
    <row r="33" spans="1:6" ht="38.25" customHeight="1">
      <c r="A33" s="58"/>
      <c r="B33" s="59"/>
      <c r="C33" s="59"/>
      <c r="D33" s="59"/>
    </row>
    <row r="34" spans="1:6" ht="34.5">
      <c r="A34" s="60" t="s">
        <v>7</v>
      </c>
      <c r="B34" s="31" t="s">
        <v>34</v>
      </c>
      <c r="C34" s="31" t="s">
        <v>31</v>
      </c>
      <c r="D34" s="31" t="s">
        <v>3</v>
      </c>
    </row>
    <row r="35" spans="1:6" ht="30">
      <c r="A35" s="41" t="s">
        <v>8</v>
      </c>
      <c r="B35" s="61">
        <v>110000</v>
      </c>
      <c r="C35" s="61">
        <v>106840.45</v>
      </c>
      <c r="D35" s="61">
        <f>C35/B35*100</f>
        <v>97.127681818181813</v>
      </c>
    </row>
    <row r="36" spans="1:6">
      <c r="A36" s="41" t="s">
        <v>47</v>
      </c>
      <c r="B36" s="61">
        <v>2050</v>
      </c>
      <c r="C36" s="61">
        <v>1528.2</v>
      </c>
      <c r="D36" s="61">
        <f t="shared" ref="D36:D49" si="2">C36/B36*100</f>
        <v>74.546341463414635</v>
      </c>
    </row>
    <row r="37" spans="1:6" ht="30">
      <c r="A37" s="41" t="s">
        <v>33</v>
      </c>
      <c r="B37" s="61">
        <v>1100</v>
      </c>
      <c r="C37" s="61">
        <v>974.1</v>
      </c>
      <c r="D37" s="61">
        <f t="shared" si="2"/>
        <v>88.554545454545448</v>
      </c>
    </row>
    <row r="38" spans="1:6">
      <c r="A38" s="41" t="s">
        <v>9</v>
      </c>
      <c r="B38" s="61">
        <v>18000</v>
      </c>
      <c r="C38" s="61">
        <v>17244.776000000002</v>
      </c>
      <c r="D38" s="61">
        <f t="shared" si="2"/>
        <v>95.804311111111119</v>
      </c>
    </row>
    <row r="39" spans="1:6">
      <c r="A39" s="41" t="s">
        <v>10</v>
      </c>
      <c r="B39" s="61">
        <v>600</v>
      </c>
      <c r="C39" s="61">
        <v>501.48899999999998</v>
      </c>
      <c r="D39" s="61">
        <f t="shared" si="2"/>
        <v>83.581499999999991</v>
      </c>
    </row>
    <row r="40" spans="1:6">
      <c r="A40" s="41" t="s">
        <v>18</v>
      </c>
      <c r="B40" s="61">
        <v>350</v>
      </c>
      <c r="C40" s="61">
        <v>200</v>
      </c>
      <c r="D40" s="61">
        <f t="shared" si="2"/>
        <v>57.142857142857139</v>
      </c>
    </row>
    <row r="41" spans="1:6" s="43" customFormat="1" ht="30">
      <c r="A41" s="41" t="s">
        <v>28</v>
      </c>
      <c r="B41" s="61">
        <v>30000</v>
      </c>
      <c r="C41" s="61">
        <v>29962.799999999999</v>
      </c>
      <c r="D41" s="61">
        <f t="shared" si="2"/>
        <v>99.876000000000005</v>
      </c>
    </row>
    <row r="42" spans="1:6" s="43" customFormat="1">
      <c r="A42" s="49" t="s">
        <v>11</v>
      </c>
      <c r="B42" s="61">
        <v>150000</v>
      </c>
      <c r="C42" s="61">
        <v>121410.7</v>
      </c>
      <c r="D42" s="61">
        <f t="shared" si="2"/>
        <v>80.940466666666666</v>
      </c>
    </row>
    <row r="43" spans="1:6" s="43" customFormat="1">
      <c r="A43" s="41" t="s">
        <v>41</v>
      </c>
      <c r="B43" s="61">
        <v>55000</v>
      </c>
      <c r="C43" s="61">
        <v>50222.235999999997</v>
      </c>
      <c r="D43" s="61">
        <f t="shared" si="2"/>
        <v>91.313156363636367</v>
      </c>
    </row>
    <row r="44" spans="1:6" s="43" customFormat="1" ht="30">
      <c r="A44" s="41" t="s">
        <v>12</v>
      </c>
      <c r="B44" s="61">
        <v>6000</v>
      </c>
      <c r="C44" s="61">
        <v>4190</v>
      </c>
      <c r="D44" s="61">
        <f t="shared" si="2"/>
        <v>69.833333333333343</v>
      </c>
    </row>
    <row r="45" spans="1:6" s="43" customFormat="1">
      <c r="A45" s="41" t="s">
        <v>13</v>
      </c>
      <c r="B45" s="62">
        <v>2000</v>
      </c>
      <c r="C45" s="61">
        <v>1747.0989999999999</v>
      </c>
      <c r="D45" s="61">
        <f t="shared" si="2"/>
        <v>87.354950000000002</v>
      </c>
    </row>
    <row r="46" spans="1:6" s="43" customFormat="1" ht="30">
      <c r="A46" s="41" t="s">
        <v>14</v>
      </c>
      <c r="B46" s="61">
        <v>200000</v>
      </c>
      <c r="C46" s="61">
        <v>196734.02799999999</v>
      </c>
      <c r="D46" s="61">
        <f t="shared" si="2"/>
        <v>98.367013999999998</v>
      </c>
    </row>
    <row r="47" spans="1:6">
      <c r="A47" s="41" t="s">
        <v>27</v>
      </c>
      <c r="B47" s="63">
        <v>20000</v>
      </c>
      <c r="C47" s="61">
        <v>18423.900000000001</v>
      </c>
      <c r="D47" s="61">
        <f t="shared" si="2"/>
        <v>92.119500000000016</v>
      </c>
      <c r="F47" s="43"/>
    </row>
    <row r="48" spans="1:6" s="43" customFormat="1" ht="30">
      <c r="A48" s="41" t="s">
        <v>15</v>
      </c>
      <c r="B48" s="61">
        <v>7000</v>
      </c>
      <c r="C48" s="61">
        <v>6188.1</v>
      </c>
      <c r="D48" s="61">
        <f t="shared" si="2"/>
        <v>88.401428571428582</v>
      </c>
    </row>
    <row r="49" spans="1:4">
      <c r="A49" s="60" t="s">
        <v>17</v>
      </c>
      <c r="B49" s="64">
        <f>SUM(B35:B48)</f>
        <v>602100</v>
      </c>
      <c r="C49" s="64">
        <f>SUM(C35:C48)</f>
        <v>556167.87800000003</v>
      </c>
      <c r="D49" s="61">
        <f t="shared" si="2"/>
        <v>92.371346620162768</v>
      </c>
    </row>
    <row r="50" spans="1:4">
      <c r="A50" s="43"/>
      <c r="B50" s="43"/>
      <c r="C50" s="43"/>
      <c r="D50" s="43"/>
    </row>
    <row r="52" spans="1:4">
      <c r="A52" s="34" t="s">
        <v>36</v>
      </c>
    </row>
  </sheetData>
  <mergeCells count="4">
    <mergeCell ref="B2:D2"/>
    <mergeCell ref="B3:D3"/>
    <mergeCell ref="A5:D5"/>
    <mergeCell ref="A6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E5006-D8EE-4DD7-A7C7-49A6A8336FDD}">
  <dimension ref="A1:J50"/>
  <sheetViews>
    <sheetView tabSelected="1" workbookViewId="0">
      <selection activeCell="E4" sqref="E4"/>
    </sheetView>
  </sheetViews>
  <sheetFormatPr defaultRowHeight="12.75"/>
  <cols>
    <col min="1" max="1" width="49.85546875" style="67" customWidth="1"/>
    <col min="2" max="2" width="14.28515625" style="67" customWidth="1"/>
    <col min="3" max="3" width="17.7109375" style="67" customWidth="1"/>
    <col min="4" max="4" width="13.7109375" style="67" customWidth="1"/>
    <col min="5" max="5" width="9.140625" style="67"/>
    <col min="6" max="6" width="22.7109375" style="67" customWidth="1"/>
    <col min="7" max="9" width="9.140625" style="67"/>
    <col min="10" max="10" width="25" style="67" customWidth="1"/>
    <col min="11" max="16384" width="9.140625" style="67"/>
  </cols>
  <sheetData>
    <row r="1" spans="1:10" ht="12.75" customHeight="1">
      <c r="B1" s="103" t="s">
        <v>40</v>
      </c>
      <c r="C1" s="103"/>
      <c r="D1" s="103"/>
    </row>
    <row r="2" spans="1:10" ht="15">
      <c r="A2" s="68"/>
      <c r="B2" s="104" t="s">
        <v>53</v>
      </c>
      <c r="C2" s="104"/>
      <c r="D2" s="104"/>
    </row>
    <row r="3" spans="1:10" ht="21.75" customHeight="1">
      <c r="A3" s="68"/>
      <c r="B3" s="69"/>
      <c r="C3" s="69"/>
      <c r="D3" s="69"/>
    </row>
    <row r="4" spans="1:10" ht="12.75" customHeight="1">
      <c r="A4" s="108" t="s">
        <v>50</v>
      </c>
      <c r="B4" s="108"/>
      <c r="C4" s="108"/>
      <c r="D4" s="108"/>
    </row>
    <row r="5" spans="1:10" hidden="1">
      <c r="A5" s="107"/>
      <c r="B5" s="107"/>
      <c r="C5" s="107"/>
      <c r="D5" s="107"/>
    </row>
    <row r="6" spans="1:10">
      <c r="A6" s="67" t="s">
        <v>0</v>
      </c>
      <c r="C6" s="67" t="s">
        <v>1</v>
      </c>
    </row>
    <row r="7" spans="1:10" s="72" customFormat="1" ht="25.5">
      <c r="A7" s="70" t="s">
        <v>2</v>
      </c>
      <c r="B7" s="71" t="s">
        <v>30</v>
      </c>
      <c r="C7" s="71" t="s">
        <v>31</v>
      </c>
      <c r="D7" s="71" t="s">
        <v>3</v>
      </c>
    </row>
    <row r="8" spans="1:10" s="75" customFormat="1" ht="25.5">
      <c r="A8" s="73" t="s">
        <v>29</v>
      </c>
      <c r="B8" s="74">
        <v>33665</v>
      </c>
      <c r="C8" s="74">
        <v>35374.105000000003</v>
      </c>
      <c r="D8" s="74">
        <f>C8/B8*100</f>
        <v>105.07680083172434</v>
      </c>
    </row>
    <row r="9" spans="1:10" s="75" customFormat="1" ht="25.5">
      <c r="A9" s="76" t="s">
        <v>19</v>
      </c>
      <c r="B9" s="74">
        <v>24993</v>
      </c>
      <c r="C9" s="77">
        <v>25284.728999999999</v>
      </c>
      <c r="D9" s="77">
        <f t="shared" ref="D9:D16" si="0">C9/B9*100</f>
        <v>101.16724282799183</v>
      </c>
    </row>
    <row r="10" spans="1:10" s="75" customFormat="1">
      <c r="A10" s="76" t="s">
        <v>4</v>
      </c>
      <c r="B10" s="74">
        <v>72252</v>
      </c>
      <c r="C10" s="77">
        <v>68810.37</v>
      </c>
      <c r="D10" s="77">
        <f t="shared" si="0"/>
        <v>95.236630127885718</v>
      </c>
    </row>
    <row r="11" spans="1:10" s="75" customFormat="1">
      <c r="A11" s="76" t="s">
        <v>5</v>
      </c>
      <c r="B11" s="74">
        <v>14449</v>
      </c>
      <c r="C11" s="77">
        <v>16706.291000000001</v>
      </c>
      <c r="D11" s="77">
        <f t="shared" si="0"/>
        <v>115.62247214340093</v>
      </c>
    </row>
    <row r="12" spans="1:10" s="75" customFormat="1">
      <c r="A12" s="78" t="s">
        <v>20</v>
      </c>
      <c r="B12" s="79">
        <v>1200</v>
      </c>
      <c r="C12" s="80">
        <v>1191</v>
      </c>
      <c r="D12" s="80">
        <f t="shared" si="0"/>
        <v>99.25</v>
      </c>
    </row>
    <row r="13" spans="1:10">
      <c r="A13" s="81" t="s">
        <v>23</v>
      </c>
      <c r="B13" s="79">
        <v>24980</v>
      </c>
      <c r="C13" s="80">
        <v>25439.382000000001</v>
      </c>
      <c r="D13" s="80">
        <f t="shared" si="0"/>
        <v>101.83899919935951</v>
      </c>
      <c r="F13" s="75"/>
      <c r="J13" s="75"/>
    </row>
    <row r="14" spans="1:10">
      <c r="A14" s="81" t="s">
        <v>24</v>
      </c>
      <c r="B14" s="74">
        <v>14500</v>
      </c>
      <c r="C14" s="80">
        <v>25183.564999999999</v>
      </c>
      <c r="D14" s="80">
        <f t="shared" si="0"/>
        <v>173.67975862068965</v>
      </c>
      <c r="F14" s="75"/>
      <c r="J14" s="75"/>
    </row>
    <row r="15" spans="1:10">
      <c r="A15" s="81" t="s">
        <v>21</v>
      </c>
      <c r="B15" s="74">
        <v>2200</v>
      </c>
      <c r="C15" s="80">
        <v>2210</v>
      </c>
      <c r="D15" s="80">
        <f t="shared" si="0"/>
        <v>100.45454545454547</v>
      </c>
      <c r="F15" s="75"/>
      <c r="J15" s="75"/>
    </row>
    <row r="16" spans="1:10" ht="38.25">
      <c r="A16" s="81" t="s">
        <v>52</v>
      </c>
      <c r="B16" s="79">
        <v>27215.7</v>
      </c>
      <c r="C16" s="80">
        <v>28925.353999999999</v>
      </c>
      <c r="D16" s="80">
        <f t="shared" si="0"/>
        <v>106.28186671663782</v>
      </c>
      <c r="F16" s="75"/>
      <c r="J16" s="75"/>
    </row>
    <row r="17" spans="1:6">
      <c r="A17" s="70" t="s">
        <v>37</v>
      </c>
      <c r="B17" s="82">
        <f>SUM(B8:B16)</f>
        <v>215454.7</v>
      </c>
      <c r="C17" s="83">
        <f>SUM(C8:C16)</f>
        <v>229124.796</v>
      </c>
      <c r="D17" s="84">
        <f>C17/B17*100</f>
        <v>106.34476574426085</v>
      </c>
    </row>
    <row r="18" spans="1:6" s="85" customFormat="1" hidden="1">
      <c r="A18" s="76" t="s">
        <v>35</v>
      </c>
      <c r="B18" s="77"/>
      <c r="C18" s="77"/>
      <c r="D18" s="80"/>
      <c r="F18" s="67"/>
    </row>
    <row r="19" spans="1:6" ht="25.5">
      <c r="A19" s="73" t="s">
        <v>6</v>
      </c>
      <c r="B19" s="77">
        <v>427718.5</v>
      </c>
      <c r="C19" s="77">
        <v>427718.5</v>
      </c>
      <c r="D19" s="77">
        <f>C19/B19*100</f>
        <v>100</v>
      </c>
    </row>
    <row r="20" spans="1:6" ht="40.5" customHeight="1">
      <c r="A20" s="73" t="s">
        <v>51</v>
      </c>
      <c r="B20" s="77"/>
      <c r="C20" s="77">
        <v>292.36599999999999</v>
      </c>
      <c r="D20" s="77"/>
    </row>
    <row r="21" spans="1:6" ht="25.5">
      <c r="A21" s="73" t="s">
        <v>26</v>
      </c>
      <c r="B21" s="77">
        <v>653.70000000000005</v>
      </c>
      <c r="C21" s="77">
        <v>653.70000000000005</v>
      </c>
      <c r="D21" s="77">
        <f>C21/B21*100</f>
        <v>100</v>
      </c>
    </row>
    <row r="22" spans="1:6" s="75" customFormat="1" ht="38.25">
      <c r="A22" s="76" t="s">
        <v>39</v>
      </c>
      <c r="B22" s="74">
        <v>359871.07400000002</v>
      </c>
      <c r="C22" s="77">
        <v>356007.06699999998</v>
      </c>
      <c r="D22" s="77">
        <f t="shared" ref="D22:D24" si="1">C22/B22*100</f>
        <v>98.926280193333895</v>
      </c>
      <c r="F22" s="67"/>
    </row>
    <row r="23" spans="1:6" s="75" customFormat="1">
      <c r="A23" s="76" t="s">
        <v>35</v>
      </c>
      <c r="B23" s="74">
        <v>8928.5</v>
      </c>
      <c r="C23" s="77">
        <v>8928.5</v>
      </c>
      <c r="D23" s="77">
        <f>C23/B23*100</f>
        <v>100</v>
      </c>
      <c r="F23" s="67"/>
    </row>
    <row r="24" spans="1:6" s="85" customFormat="1">
      <c r="A24" s="86" t="s">
        <v>38</v>
      </c>
      <c r="B24" s="87">
        <f>SUM(B17:B23)</f>
        <v>1012626.4739999999</v>
      </c>
      <c r="C24" s="87">
        <f>SUM(C17:C23)</f>
        <v>1022724.929</v>
      </c>
      <c r="D24" s="88">
        <f t="shared" si="1"/>
        <v>100.99725370205954</v>
      </c>
    </row>
    <row r="25" spans="1:6" s="85" customFormat="1">
      <c r="A25" s="76" t="s">
        <v>22</v>
      </c>
      <c r="B25" s="77"/>
      <c r="C25" s="77">
        <v>4447.74</v>
      </c>
      <c r="D25" s="87"/>
    </row>
    <row r="26" spans="1:6" s="85" customFormat="1" ht="25.5">
      <c r="A26" s="76" t="s">
        <v>32</v>
      </c>
      <c r="B26" s="77">
        <v>127361</v>
      </c>
      <c r="C26" s="77">
        <v>135927.598</v>
      </c>
      <c r="D26" s="77">
        <f>C26/B26*100</f>
        <v>106.72623330532896</v>
      </c>
    </row>
    <row r="27" spans="1:6" s="85" customFormat="1" ht="13.5" hidden="1" customHeight="1">
      <c r="A27" s="89"/>
      <c r="B27" s="90"/>
      <c r="C27" s="90"/>
      <c r="D27" s="91"/>
    </row>
    <row r="28" spans="1:6" s="85" customFormat="1" ht="6.75" hidden="1" customHeight="1">
      <c r="A28" s="89"/>
      <c r="B28" s="90"/>
      <c r="C28" s="90"/>
      <c r="D28" s="91"/>
    </row>
    <row r="29" spans="1:6" s="85" customFormat="1" ht="6.75" hidden="1" customHeight="1">
      <c r="A29" s="92"/>
      <c r="B29" s="91"/>
      <c r="C29" s="91"/>
      <c r="D29" s="91"/>
    </row>
    <row r="30" spans="1:6" ht="38.25" hidden="1" customHeight="1">
      <c r="A30" s="93"/>
      <c r="B30" s="94"/>
      <c r="C30" s="94"/>
      <c r="D30" s="94"/>
    </row>
    <row r="31" spans="1:6" ht="38.25" customHeight="1">
      <c r="A31" s="93"/>
      <c r="B31" s="94"/>
      <c r="C31" s="94"/>
      <c r="D31" s="94"/>
    </row>
    <row r="32" spans="1:6" ht="27">
      <c r="A32" s="95" t="s">
        <v>7</v>
      </c>
      <c r="B32" s="96" t="s">
        <v>34</v>
      </c>
      <c r="C32" s="96" t="s">
        <v>31</v>
      </c>
      <c r="D32" s="96" t="s">
        <v>3</v>
      </c>
    </row>
    <row r="33" spans="1:4">
      <c r="A33" s="78" t="s">
        <v>8</v>
      </c>
      <c r="B33" s="97">
        <v>159542.36600000001</v>
      </c>
      <c r="C33" s="97">
        <v>158626.22500000001</v>
      </c>
      <c r="D33" s="97">
        <f>C33/B33*100</f>
        <v>99.425769453613341</v>
      </c>
    </row>
    <row r="34" spans="1:4">
      <c r="A34" s="78" t="s">
        <v>47</v>
      </c>
      <c r="B34" s="97">
        <v>14750</v>
      </c>
      <c r="C34" s="97">
        <v>7820.7</v>
      </c>
      <c r="D34" s="97">
        <f t="shared" ref="D34:D47" si="2">C34/B34*100</f>
        <v>53.021694915254237</v>
      </c>
    </row>
    <row r="35" spans="1:4">
      <c r="A35" s="78" t="s">
        <v>33</v>
      </c>
      <c r="B35" s="97">
        <v>3500</v>
      </c>
      <c r="C35" s="97">
        <v>3297.6</v>
      </c>
      <c r="D35" s="97">
        <f t="shared" si="2"/>
        <v>94.217142857142861</v>
      </c>
    </row>
    <row r="36" spans="1:4">
      <c r="A36" s="78" t="s">
        <v>9</v>
      </c>
      <c r="B36" s="97">
        <v>27100</v>
      </c>
      <c r="C36" s="97">
        <v>24752.933000000001</v>
      </c>
      <c r="D36" s="97">
        <f t="shared" si="2"/>
        <v>91.33923616236163</v>
      </c>
    </row>
    <row r="37" spans="1:4">
      <c r="A37" s="78" t="s">
        <v>10</v>
      </c>
      <c r="B37" s="97">
        <v>1000</v>
      </c>
      <c r="C37" s="97">
        <v>967.00199999999995</v>
      </c>
      <c r="D37" s="97">
        <f t="shared" si="2"/>
        <v>96.700199999999995</v>
      </c>
    </row>
    <row r="38" spans="1:4">
      <c r="A38" s="78" t="s">
        <v>18</v>
      </c>
      <c r="B38" s="97">
        <v>650</v>
      </c>
      <c r="C38" s="97">
        <v>641</v>
      </c>
      <c r="D38" s="97">
        <f t="shared" si="2"/>
        <v>98.615384615384613</v>
      </c>
    </row>
    <row r="39" spans="1:4" ht="25.5">
      <c r="A39" s="78" t="s">
        <v>28</v>
      </c>
      <c r="B39" s="97">
        <v>45455</v>
      </c>
      <c r="C39" s="97">
        <v>43297.972000000002</v>
      </c>
      <c r="D39" s="97">
        <f t="shared" si="2"/>
        <v>95.254585854141453</v>
      </c>
    </row>
    <row r="40" spans="1:4">
      <c r="A40" s="76" t="s">
        <v>11</v>
      </c>
      <c r="B40" s="97">
        <v>177914.4</v>
      </c>
      <c r="C40" s="97">
        <v>174906.04500000001</v>
      </c>
      <c r="D40" s="97">
        <f t="shared" si="2"/>
        <v>98.309099769327275</v>
      </c>
    </row>
    <row r="41" spans="1:4">
      <c r="A41" s="78" t="s">
        <v>41</v>
      </c>
      <c r="B41" s="97">
        <v>111912.8</v>
      </c>
      <c r="C41" s="97">
        <v>104089.254</v>
      </c>
      <c r="D41" s="97">
        <f t="shared" si="2"/>
        <v>93.009248271868799</v>
      </c>
    </row>
    <row r="42" spans="1:4">
      <c r="A42" s="78" t="s">
        <v>12</v>
      </c>
      <c r="B42" s="97">
        <v>15919.558000000001</v>
      </c>
      <c r="C42" s="97">
        <v>15909.558000000001</v>
      </c>
      <c r="D42" s="97">
        <f t="shared" si="2"/>
        <v>99.937184185641343</v>
      </c>
    </row>
    <row r="43" spans="1:4">
      <c r="A43" s="78" t="s">
        <v>13</v>
      </c>
      <c r="B43" s="97">
        <v>11300</v>
      </c>
      <c r="C43" s="97">
        <v>8668.8649999999998</v>
      </c>
      <c r="D43" s="97">
        <f t="shared" si="2"/>
        <v>76.715619469026535</v>
      </c>
    </row>
    <row r="44" spans="1:4" ht="25.5">
      <c r="A44" s="78" t="s">
        <v>14</v>
      </c>
      <c r="B44" s="97">
        <v>585765.57499999995</v>
      </c>
      <c r="C44" s="97">
        <v>542106.95299999998</v>
      </c>
      <c r="D44" s="97">
        <f t="shared" si="2"/>
        <v>92.546741586854097</v>
      </c>
    </row>
    <row r="45" spans="1:4">
      <c r="A45" s="78" t="s">
        <v>27</v>
      </c>
      <c r="B45" s="98">
        <v>24200</v>
      </c>
      <c r="C45" s="97">
        <v>24153.9</v>
      </c>
      <c r="D45" s="97">
        <f t="shared" si="2"/>
        <v>99.80950413223141</v>
      </c>
    </row>
    <row r="46" spans="1:4" ht="25.5">
      <c r="A46" s="78" t="s">
        <v>15</v>
      </c>
      <c r="B46" s="97">
        <v>7870.1</v>
      </c>
      <c r="C46" s="97">
        <v>7223.1</v>
      </c>
      <c r="D46" s="97">
        <f t="shared" si="2"/>
        <v>91.779011702519668</v>
      </c>
    </row>
    <row r="47" spans="1:4">
      <c r="A47" s="95" t="s">
        <v>17</v>
      </c>
      <c r="B47" s="99">
        <f>SUM(B33:B46)</f>
        <v>1186879.7990000001</v>
      </c>
      <c r="C47" s="99">
        <f>SUM(C33:C46)</f>
        <v>1116461.1070000001</v>
      </c>
      <c r="D47" s="97">
        <f t="shared" si="2"/>
        <v>94.066906180446324</v>
      </c>
    </row>
    <row r="48" spans="1:4">
      <c r="A48" s="75"/>
      <c r="B48" s="75"/>
      <c r="C48" s="75"/>
      <c r="D48" s="75"/>
    </row>
    <row r="50" spans="1:1">
      <c r="A50" s="67" t="s">
        <v>36</v>
      </c>
    </row>
  </sheetData>
  <mergeCells count="4">
    <mergeCell ref="B2:D2"/>
    <mergeCell ref="A5:D5"/>
    <mergeCell ref="B1:D1"/>
    <mergeCell ref="A4:D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I er.</vt:lpstr>
      <vt:lpstr>I կիս.</vt:lpstr>
      <vt:lpstr>3-րդ եռ.</vt:lpstr>
      <vt:lpstr>տարի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2025-02-27T06:07:39Z</dcterms:modified>
</cp:coreProperties>
</file>